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corp\corpdata\Electric_Rates_Group\Proceedings\GRC\2019 GRC P2\ERRATA\Direct Testimony\Revenue Allocations\WORKPAPERS ERRATA\"/>
    </mc:Choice>
  </mc:AlternateContent>
  <xr:revisionPtr revIDLastSave="0" documentId="13_ncr:1_{AFAC2DBE-BDC7-4CFA-AA9F-0A0832E96389}" xr6:coauthVersionLast="36" xr6:coauthVersionMax="36" xr10:uidLastSave="{00000000-0000-0000-0000-000000000000}"/>
  <bookViews>
    <workbookView xWindow="120" yWindow="100" windowWidth="24910" windowHeight="10740" tabRatio="835" xr2:uid="{00000000-000D-0000-FFFF-FFFF00000000}"/>
  </bookViews>
  <sheets>
    <sheet name="Description" sheetId="8" r:id="rId1"/>
    <sheet name="Updated PPP - Calculation (NEW)" sheetId="10" r:id="rId2"/>
    <sheet name="Current PPP - Calculation (NEW)" sheetId="19" r:id="rId3"/>
    <sheet name="EE Calculation NEW" sheetId="21" r:id="rId4"/>
    <sheet name="EE Summary" sheetId="7" r:id="rId5"/>
    <sheet name="SGIP Calculation" sheetId="17" r:id="rId6"/>
  </sheets>
  <externalReferences>
    <externalReference r:id="rId7"/>
    <externalReference r:id="rId8"/>
  </externalReferences>
  <definedNames>
    <definedName name="_______ddd5" localSheetId="0" hidden="1">{#N/A,#N/A,FALSE,"trates"}</definedName>
    <definedName name="_______ddd5" hidden="1">{#N/A,#N/A,FALSE,"trates"}</definedName>
    <definedName name="______ddd5" localSheetId="0" hidden="1">{#N/A,#N/A,FALSE,"trates"}</definedName>
    <definedName name="______ddd5" hidden="1">{#N/A,#N/A,FALSE,"trates"}</definedName>
    <definedName name="_____ddd5" localSheetId="0" hidden="1">{#N/A,#N/A,FALSE,"trates"}</definedName>
    <definedName name="_____ddd5" hidden="1">{#N/A,#N/A,FALSE,"trates"}</definedName>
    <definedName name="____ddd5" localSheetId="0" hidden="1">{#N/A,#N/A,FALSE,"trates"}</definedName>
    <definedName name="____ddd5" hidden="1">{#N/A,#N/A,FALSE,"trates"}</definedName>
    <definedName name="___ddd5" localSheetId="0" hidden="1">{#N/A,#N/A,FALSE,"trates"}</definedName>
    <definedName name="___ddd5" hidden="1">{#N/A,#N/A,FALSE,"trates"}</definedName>
    <definedName name="__ddd5" localSheetId="0" hidden="1">{#N/A,#N/A,FALSE,"trates"}</definedName>
    <definedName name="__ddd5" hidden="1">{#N/A,#N/A,FALSE,"trates"}</definedName>
    <definedName name="_AtRisk_SimSetting_AutomaticallyGenerateReports" hidden="1">FALSE</definedName>
    <definedName name="_AtRisk_SimSetting_AutomaticResultsDisplayMode" hidden="1">1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16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_ddd5" localSheetId="0" hidden="1">{#N/A,#N/A,FALSE,"trates"}</definedName>
    <definedName name="_ddd5" hidden="1">{#N/A,#N/A,FALSE,"trates"}</definedName>
    <definedName name="_Fill" hidden="1">#REF!</definedName>
    <definedName name="_Key1" hidden="1">#REF!</definedName>
    <definedName name="_Key2" hidden="1">#REF!</definedName>
    <definedName name="_MatInverse_In" hidden="1">#REF!</definedName>
    <definedName name="_MatMult_A" hidden="1">#REF!</definedName>
    <definedName name="_MatMult_AxB" hidden="1">#REF!</definedName>
    <definedName name="_MatMult_B" hidden="1">#REF!</definedName>
    <definedName name="_Order1" hidden="1">255</definedName>
    <definedName name="_Order2" hidden="1">0</definedName>
    <definedName name="_Parse_In" hidden="1">#REF!</definedName>
    <definedName name="_Parse_Out" hidden="1">#REF!</definedName>
    <definedName name="_Sort" hidden="1">#REF!</definedName>
    <definedName name="anscount" hidden="1">1</definedName>
    <definedName name="dddd">[1]Level2!$K$2</definedName>
    <definedName name="dummy1" localSheetId="0" hidden="1">{#N/A,#N/A,FALSE,"trates"}</definedName>
    <definedName name="dummy1" hidden="1">{#N/A,#N/A,FALSE,"trates"}</definedName>
    <definedName name="dummy2" localSheetId="0" hidden="1">{#N/A,#N/A,FALSE,"trates"}</definedName>
    <definedName name="dummy2" hidden="1">{#N/A,#N/A,FALSE,"trates"}</definedName>
    <definedName name="dummy3" localSheetId="0" hidden="1">{#N/A,#N/A,FALSE,"trates"}</definedName>
    <definedName name="dummy3" hidden="1">{#N/A,#N/A,FALSE,"trates"}</definedName>
    <definedName name="dummy4" localSheetId="0" hidden="1">{#N/A,#N/A,FALSE,"trates"}</definedName>
    <definedName name="dummy4" hidden="1">{#N/A,#N/A,FALSE,"trates"}</definedName>
    <definedName name="dummy5" localSheetId="0" hidden="1">{#N/A,#N/A,FALSE,"trates"}</definedName>
    <definedName name="dummy5" hidden="1">{#N/A,#N/A,FALSE,"trates"}</definedName>
    <definedName name="InvoiceType">[2]Level2!$K$2</definedName>
    <definedName name="jjj" hidden="1">#REF!</definedName>
    <definedName name="jkl" localSheetId="0" hidden="1">{#N/A,#N/A,FALSE,"trates"}</definedName>
    <definedName name="jkl" hidden="1">{#N/A,#N/A,FALSE,"trates"}</definedName>
    <definedName name="limcount" hidden="1">1</definedName>
    <definedName name="_xlnm.Print_Area" localSheetId="0">#REF!</definedName>
    <definedName name="_xlnm.Print_Area">#REF!</definedName>
    <definedName name="Print_Area_MI" localSheetId="2">#REF!</definedName>
    <definedName name="Print_Area_MI" localSheetId="0">#REF!</definedName>
    <definedName name="Print_Area_MI" localSheetId="1">#REF!</definedName>
    <definedName name="Print_Area_MI">#REF!</definedName>
    <definedName name="Print_Area2" localSheetId="0">#REF!</definedName>
    <definedName name="Print_Area2">#REF!</definedName>
    <definedName name="RiskAfterRecalcMacro" hidden="1">"'10 Year Model.xls'!RiskSim"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FALSE</definedName>
    <definedName name="RiskNumIterations" hidden="1">1000</definedName>
    <definedName name="RiskNumSimulations" hidden="1">1</definedName>
    <definedName name="RiskPauseOnError" hidden="1">FALSE</definedName>
    <definedName name="RiskRunAfterRecalcMacro" hidden="1">TRUE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TRUE</definedName>
    <definedName name="RiskUseDifferentSeedForEachSim" hidden="1">FALSE</definedName>
    <definedName name="RiskUseFixedSeed" hidden="1">FALSE</definedName>
    <definedName name="RiskUseMultipleCPUs" hidden="1">FALSE</definedName>
    <definedName name="sencount" hidden="1">2</definedName>
    <definedName name="wrn.BL." localSheetId="2" hidden="1">{#N/A,#N/A,FALSE,"trates"}</definedName>
    <definedName name="wrn.BL." localSheetId="0" hidden="1">{#N/A,#N/A,FALSE,"trates"}</definedName>
    <definedName name="wrn.BL." localSheetId="1" hidden="1">{#N/A,#N/A,FALSE,"trates"}</definedName>
    <definedName name="wrn.BL." hidden="1">{#N/A,#N/A,FALSE,"trates"}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1" i="17" l="1"/>
  <c r="A2" i="7" l="1"/>
  <c r="A2" i="10"/>
  <c r="G20" i="17" l="1"/>
  <c r="G18" i="17"/>
  <c r="G23" i="17" l="1"/>
  <c r="H22" i="17" l="1"/>
  <c r="H21" i="17"/>
  <c r="H19" i="17"/>
  <c r="H20" i="17"/>
  <c r="H18" i="17"/>
  <c r="H23" i="17" l="1"/>
  <c r="H72" i="21" l="1"/>
  <c r="H86" i="21"/>
  <c r="H66" i="21"/>
  <c r="H32" i="21"/>
  <c r="B11" i="21" s="1"/>
  <c r="H18" i="21"/>
  <c r="B10" i="21" s="1"/>
  <c r="H11" i="21"/>
  <c r="B9" i="21" s="1"/>
  <c r="C16" i="7" l="1"/>
  <c r="H58" i="21" l="1"/>
  <c r="B12" i="21" s="1"/>
  <c r="B13" i="21"/>
  <c r="B15" i="21"/>
  <c r="B14" i="21"/>
  <c r="H87" i="21" l="1"/>
  <c r="B16" i="21"/>
  <c r="C277" i="10" l="1"/>
  <c r="C236" i="10"/>
  <c r="C195" i="10"/>
  <c r="C122" i="10"/>
  <c r="C151" i="10" l="1"/>
  <c r="C149" i="10"/>
  <c r="C104" i="10"/>
  <c r="C87" i="10"/>
  <c r="C54" i="10"/>
  <c r="C154" i="19"/>
  <c r="C152" i="19"/>
  <c r="F111" i="19"/>
  <c r="C107" i="19"/>
  <c r="F94" i="19"/>
  <c r="C90" i="19"/>
  <c r="C57" i="19"/>
  <c r="C193" i="19" l="1"/>
  <c r="F98" i="19"/>
  <c r="F113" i="19"/>
  <c r="C190" i="10"/>
  <c r="C213" i="10" s="1"/>
  <c r="F115" i="19"/>
  <c r="F134" i="19"/>
  <c r="C15" i="19"/>
  <c r="C44" i="19" s="1"/>
  <c r="F132" i="19"/>
  <c r="E102" i="19"/>
  <c r="F96" i="19"/>
  <c r="F100" i="19"/>
  <c r="G32" i="19"/>
  <c r="F69" i="19"/>
  <c r="E138" i="19"/>
  <c r="F130" i="19"/>
  <c r="E251" i="19"/>
  <c r="C54" i="19"/>
  <c r="C79" i="19" s="1"/>
  <c r="G210" i="19"/>
  <c r="C234" i="19"/>
  <c r="C275" i="19"/>
  <c r="C304" i="19" s="1"/>
  <c r="G292" i="19"/>
  <c r="F92" i="19"/>
  <c r="G166" i="19"/>
  <c r="E119" i="19"/>
  <c r="C12" i="10"/>
  <c r="C231" i="10"/>
  <c r="C51" i="10"/>
  <c r="C272" i="10"/>
  <c r="G207" i="10"/>
  <c r="C178" i="19"/>
  <c r="C174" i="19"/>
  <c r="C176" i="19"/>
  <c r="C172" i="19"/>
  <c r="C224" i="19"/>
  <c r="C220" i="19"/>
  <c r="C216" i="19"/>
  <c r="C222" i="19"/>
  <c r="C218" i="19"/>
  <c r="F109" i="19"/>
  <c r="F117" i="19"/>
  <c r="F128" i="19"/>
  <c r="F136" i="19"/>
  <c r="C11" i="7"/>
  <c r="C8" i="7"/>
  <c r="C298" i="19" l="1"/>
  <c r="C221" i="10"/>
  <c r="C75" i="19"/>
  <c r="C42" i="19"/>
  <c r="C302" i="19"/>
  <c r="C77" i="19"/>
  <c r="C215" i="10"/>
  <c r="C219" i="10"/>
  <c r="C40" i="19"/>
  <c r="C38" i="19"/>
  <c r="C300" i="19"/>
  <c r="C81" i="19"/>
  <c r="C217" i="10"/>
  <c r="E217" i="10" s="1"/>
  <c r="C261" i="19"/>
  <c r="C259" i="19"/>
  <c r="C265" i="19"/>
  <c r="C263" i="19"/>
  <c r="C257" i="19"/>
  <c r="C180" i="19"/>
  <c r="C226" i="19"/>
  <c r="E220" i="19"/>
  <c r="F220" i="19" s="1"/>
  <c r="L27" i="19" l="1"/>
  <c r="C46" i="19"/>
  <c r="L29" i="19"/>
  <c r="C306" i="19"/>
  <c r="C223" i="10"/>
  <c r="C83" i="19"/>
  <c r="L28" i="19"/>
  <c r="E261" i="19"/>
  <c r="F261" i="19" s="1"/>
  <c r="L31" i="19"/>
  <c r="C267" i="19"/>
  <c r="L30" i="19"/>
  <c r="C320" i="19" l="1"/>
  <c r="L32" i="19"/>
  <c r="B31" i="7"/>
  <c r="M27" i="19" l="1"/>
  <c r="M31" i="19"/>
  <c r="M30" i="19"/>
  <c r="M29" i="19"/>
  <c r="M28" i="19"/>
  <c r="C27" i="7"/>
  <c r="C26" i="7"/>
  <c r="C28" i="7" l="1"/>
  <c r="A7" i="8" l="1"/>
  <c r="A9" i="8" s="1"/>
  <c r="A11" i="8" s="1"/>
  <c r="A13" i="8" s="1"/>
  <c r="A15" i="8" s="1"/>
  <c r="A17" i="8" s="1"/>
  <c r="A19" i="8" s="1"/>
  <c r="G96" i="19" l="1"/>
  <c r="G113" i="19"/>
  <c r="E63" i="19"/>
  <c r="E79" i="19" s="1"/>
  <c r="G132" i="19"/>
  <c r="H132" i="19" s="1"/>
  <c r="E65" i="19"/>
  <c r="E81" i="19" s="1"/>
  <c r="F162" i="19"/>
  <c r="E178" i="19" s="1"/>
  <c r="F263" i="19"/>
  <c r="F28" i="19"/>
  <c r="E44" i="19" s="1"/>
  <c r="G115" i="19"/>
  <c r="F206" i="19"/>
  <c r="F222" i="19" s="1"/>
  <c r="G98" i="19"/>
  <c r="H115" i="19" s="1"/>
  <c r="G134" i="19"/>
  <c r="H134" i="19" s="1"/>
  <c r="F288" i="19"/>
  <c r="E304" i="19" s="1"/>
  <c r="E292" i="19"/>
  <c r="E210" i="19"/>
  <c r="E32" i="19"/>
  <c r="E166" i="19"/>
  <c r="E59" i="19"/>
  <c r="G92" i="19"/>
  <c r="F156" i="19"/>
  <c r="G128" i="19"/>
  <c r="H128" i="19" s="1"/>
  <c r="G109" i="19"/>
  <c r="G100" i="19"/>
  <c r="F208" i="19"/>
  <c r="F224" i="19" s="1"/>
  <c r="F265" i="19"/>
  <c r="G117" i="19"/>
  <c r="G136" i="19"/>
  <c r="H136" i="19" s="1"/>
  <c r="F259" i="19"/>
  <c r="G111" i="19"/>
  <c r="G94" i="19"/>
  <c r="F202" i="19"/>
  <c r="F218" i="19" s="1"/>
  <c r="F24" i="19"/>
  <c r="E40" i="19" s="1"/>
  <c r="F284" i="19"/>
  <c r="E300" i="19" s="1"/>
  <c r="G130" i="19"/>
  <c r="H130" i="19" s="1"/>
  <c r="E61" i="19"/>
  <c r="E77" i="19" s="1"/>
  <c r="F158" i="19"/>
  <c r="E174" i="19" s="1"/>
  <c r="G119" i="19"/>
  <c r="G102" i="19"/>
  <c r="H119" i="19" s="1"/>
  <c r="J119" i="19" s="1"/>
  <c r="G138" i="19"/>
  <c r="H138" i="19" s="1"/>
  <c r="H109" i="19" l="1"/>
  <c r="J109" i="19" s="1"/>
  <c r="K109" i="19" s="1"/>
  <c r="H111" i="19"/>
  <c r="H113" i="19"/>
  <c r="C316" i="19"/>
  <c r="F200" i="19"/>
  <c r="C210" i="19"/>
  <c r="J115" i="19"/>
  <c r="K115" i="19" s="1"/>
  <c r="J111" i="19"/>
  <c r="K111" i="19" s="1"/>
  <c r="F22" i="19"/>
  <c r="C32" i="19"/>
  <c r="E75" i="19"/>
  <c r="E69" i="19"/>
  <c r="E83" i="19" s="1"/>
  <c r="F160" i="19"/>
  <c r="E176" i="19" s="1"/>
  <c r="E172" i="19"/>
  <c r="J113" i="19"/>
  <c r="K113" i="19" s="1"/>
  <c r="C325" i="19"/>
  <c r="H117" i="19"/>
  <c r="C292" i="19"/>
  <c r="F282" i="19"/>
  <c r="C251" i="19"/>
  <c r="F267" i="19" s="1"/>
  <c r="F257" i="19"/>
  <c r="C323" i="19"/>
  <c r="F26" i="19"/>
  <c r="E42" i="19" s="1"/>
  <c r="F286" i="19"/>
  <c r="E302" i="19" s="1"/>
  <c r="F166" i="19" l="1"/>
  <c r="E180" i="19" s="1"/>
  <c r="J117" i="19"/>
  <c r="K117" i="19" s="1"/>
  <c r="L111" i="19"/>
  <c r="K119" i="19"/>
  <c r="L109" i="19"/>
  <c r="L113" i="19"/>
  <c r="C319" i="19"/>
  <c r="C321" i="19"/>
  <c r="F292" i="19"/>
  <c r="E306" i="19" s="1"/>
  <c r="E298" i="19"/>
  <c r="F32" i="19"/>
  <c r="E46" i="19" s="1"/>
  <c r="E38" i="19"/>
  <c r="L115" i="19"/>
  <c r="F216" i="19"/>
  <c r="F210" i="19"/>
  <c r="F226" i="19" s="1"/>
  <c r="C314" i="19" l="1"/>
  <c r="C327" i="19"/>
  <c r="L117" i="19"/>
  <c r="L119" i="19" s="1"/>
  <c r="M111" i="19" l="1"/>
  <c r="N111" i="19" s="1"/>
  <c r="M115" i="19"/>
  <c r="N115" i="19" s="1"/>
  <c r="M113" i="19"/>
  <c r="N113" i="19" s="1"/>
  <c r="M109" i="19"/>
  <c r="N109" i="19" s="1"/>
  <c r="M119" i="19"/>
  <c r="N119" i="19" s="1"/>
  <c r="O119" i="19" s="1"/>
  <c r="M117" i="19"/>
  <c r="N117" i="19" s="1"/>
  <c r="P109" i="19" l="1"/>
  <c r="O109" i="19"/>
  <c r="P113" i="19"/>
  <c r="O113" i="19"/>
  <c r="P117" i="19"/>
  <c r="O117" i="19"/>
  <c r="P115" i="19"/>
  <c r="O115" i="19"/>
  <c r="P111" i="19"/>
  <c r="O111" i="19"/>
  <c r="P119" i="19" l="1"/>
  <c r="F217" i="10" l="1"/>
  <c r="E29" i="10" l="1"/>
  <c r="E163" i="10"/>
  <c r="E289" i="10"/>
  <c r="C262" i="10" l="1"/>
  <c r="C260" i="10"/>
  <c r="C258" i="10"/>
  <c r="C256" i="10"/>
  <c r="E207" i="10"/>
  <c r="E258" i="10" l="1"/>
  <c r="C317" i="10" s="1"/>
  <c r="C254" i="10"/>
  <c r="E248" i="10"/>
  <c r="F258" i="10" l="1"/>
  <c r="C264" i="10"/>
  <c r="C12" i="7" l="1"/>
  <c r="C19" i="7"/>
  <c r="C9" i="7" s="1"/>
  <c r="C10" i="7" l="1"/>
  <c r="C14" i="7" s="1"/>
  <c r="C13" i="7" s="1"/>
  <c r="D12" i="7" s="1"/>
  <c r="E12" i="7" s="1"/>
  <c r="F12" i="7" s="1"/>
  <c r="D9" i="7" l="1"/>
  <c r="E9" i="7" s="1"/>
  <c r="F9" i="7" s="1"/>
  <c r="D8" i="7"/>
  <c r="E8" i="7" s="1"/>
  <c r="F8" i="7" s="1"/>
  <c r="D11" i="7"/>
  <c r="E11" i="7" s="1"/>
  <c r="F11" i="7" s="1"/>
  <c r="D10" i="7"/>
  <c r="E10" i="7" s="1"/>
  <c r="F10" i="7" s="1"/>
  <c r="C15" i="7" l="1"/>
  <c r="G8" i="7"/>
  <c r="G11" i="7"/>
  <c r="G9" i="7"/>
  <c r="G10" i="7"/>
  <c r="G12" i="7" l="1"/>
  <c r="F25" i="10" l="1"/>
  <c r="F203" i="10"/>
  <c r="F219" i="10" s="1"/>
  <c r="F260" i="10"/>
  <c r="F159" i="10"/>
  <c r="F285" i="10"/>
  <c r="F19" i="10" l="1"/>
  <c r="F279" i="10"/>
  <c r="F153" i="10"/>
  <c r="F199" i="10"/>
  <c r="F215" i="10" s="1"/>
  <c r="F155" i="10"/>
  <c r="F256" i="10"/>
  <c r="F21" i="10"/>
  <c r="F281" i="10"/>
  <c r="F157" i="10"/>
  <c r="F283" i="10"/>
  <c r="F23" i="10"/>
  <c r="F197" i="10" l="1"/>
  <c r="F254" i="10"/>
  <c r="F213" i="10" l="1"/>
  <c r="C99" i="10" l="1"/>
  <c r="G99" i="10" s="1"/>
  <c r="C135" i="10"/>
  <c r="G135" i="10" s="1"/>
  <c r="H135" i="10" s="1"/>
  <c r="C163" i="10"/>
  <c r="C116" i="10"/>
  <c r="G116" i="10" s="1"/>
  <c r="H116" i="10" s="1"/>
  <c r="J116" i="10" s="1"/>
  <c r="C29" i="10"/>
  <c r="F29" i="10" s="1"/>
  <c r="C66" i="10"/>
  <c r="C289" i="10"/>
  <c r="F163" i="10" l="1"/>
  <c r="G161" i="10" s="1"/>
  <c r="F289" i="10"/>
  <c r="F205" i="10"/>
  <c r="C207" i="10"/>
  <c r="E66" i="10"/>
  <c r="F262" i="10"/>
  <c r="C248" i="10"/>
  <c r="F264" i="10" s="1"/>
  <c r="G25" i="10"/>
  <c r="C41" i="10" s="1"/>
  <c r="G23" i="10"/>
  <c r="C39" i="10" s="1"/>
  <c r="G19" i="10"/>
  <c r="G21" i="10"/>
  <c r="C37" i="10" s="1"/>
  <c r="F97" i="10"/>
  <c r="F93" i="10"/>
  <c r="G93" i="10" s="1"/>
  <c r="F91" i="10"/>
  <c r="G91" i="10" s="1"/>
  <c r="F95" i="10"/>
  <c r="G95" i="10" s="1"/>
  <c r="G285" i="10" l="1"/>
  <c r="C301" i="10" s="1"/>
  <c r="E301" i="10" s="1"/>
  <c r="G279" i="10"/>
  <c r="G281" i="10"/>
  <c r="C297" i="10" s="1"/>
  <c r="E297" i="10" s="1"/>
  <c r="G283" i="10"/>
  <c r="C299" i="10" s="1"/>
  <c r="E299" i="10" s="1"/>
  <c r="G287" i="10"/>
  <c r="G159" i="10"/>
  <c r="C175" i="10" s="1"/>
  <c r="E175" i="10" s="1"/>
  <c r="G155" i="10"/>
  <c r="C171" i="10" s="1"/>
  <c r="E171" i="10" s="1"/>
  <c r="G153" i="10"/>
  <c r="G157" i="10"/>
  <c r="C173" i="10" s="1"/>
  <c r="E173" i="10" s="1"/>
  <c r="F221" i="10"/>
  <c r="F207" i="10"/>
  <c r="F223" i="10" s="1"/>
  <c r="E39" i="10"/>
  <c r="F56" i="10"/>
  <c r="F62" i="10"/>
  <c r="C78" i="10" s="1"/>
  <c r="E78" i="10" s="1"/>
  <c r="F60" i="10"/>
  <c r="C76" i="10" s="1"/>
  <c r="E76" i="10" s="1"/>
  <c r="F58" i="10"/>
  <c r="C74" i="10" s="1"/>
  <c r="E74" i="10" s="1"/>
  <c r="F89" i="10"/>
  <c r="E99" i="10"/>
  <c r="E41" i="10"/>
  <c r="F64" i="10"/>
  <c r="E37" i="10"/>
  <c r="G97" i="10"/>
  <c r="C35" i="10"/>
  <c r="G29" i="10"/>
  <c r="G163" i="10" l="1"/>
  <c r="C169" i="10"/>
  <c r="C295" i="10"/>
  <c r="G289" i="10"/>
  <c r="G89" i="10"/>
  <c r="C72" i="10"/>
  <c r="F66" i="10"/>
  <c r="C43" i="10"/>
  <c r="E35" i="10"/>
  <c r="E295" i="10" l="1"/>
  <c r="C303" i="10"/>
  <c r="E169" i="10"/>
  <c r="C177" i="10"/>
  <c r="E43" i="10"/>
  <c r="C80" i="10"/>
  <c r="E72" i="10"/>
  <c r="L25" i="10" l="1"/>
  <c r="E177" i="10"/>
  <c r="C324" i="10"/>
  <c r="E303" i="10"/>
  <c r="E80" i="10"/>
  <c r="F133" i="10" l="1"/>
  <c r="G133" i="10" s="1"/>
  <c r="H133" i="10" s="1"/>
  <c r="F114" i="10"/>
  <c r="F131" i="10"/>
  <c r="G131" i="10" s="1"/>
  <c r="H131" i="10" s="1"/>
  <c r="F112" i="10"/>
  <c r="F129" i="10"/>
  <c r="G129" i="10" s="1"/>
  <c r="H129" i="10" s="1"/>
  <c r="F110" i="10"/>
  <c r="F108" i="10"/>
  <c r="F127" i="10"/>
  <c r="G127" i="10" s="1"/>
  <c r="H127" i="10" s="1"/>
  <c r="G112" i="10" l="1"/>
  <c r="L23" i="10"/>
  <c r="M23" i="10" s="1"/>
  <c r="F125" i="10"/>
  <c r="E135" i="10"/>
  <c r="G110" i="10"/>
  <c r="H110" i="10" s="1"/>
  <c r="L22" i="10"/>
  <c r="M22" i="10" s="1"/>
  <c r="G114" i="10"/>
  <c r="L24" i="10"/>
  <c r="M24" i="10" s="1"/>
  <c r="F106" i="10"/>
  <c r="E116" i="10"/>
  <c r="G108" i="10"/>
  <c r="L21" i="10"/>
  <c r="M21" i="10" s="1"/>
  <c r="H108" i="10" l="1"/>
  <c r="C313" i="10"/>
  <c r="C316" i="10"/>
  <c r="C318" i="10"/>
  <c r="H112" i="10"/>
  <c r="C320" i="10"/>
  <c r="J108" i="10"/>
  <c r="K108" i="10" s="1"/>
  <c r="H114" i="10"/>
  <c r="C322" i="10"/>
  <c r="F137" i="10"/>
  <c r="G125" i="10"/>
  <c r="H125" i="10" s="1"/>
  <c r="G106" i="10"/>
  <c r="L20" i="10"/>
  <c r="M20" i="10" s="1"/>
  <c r="J110" i="10"/>
  <c r="K110" i="10" s="1"/>
  <c r="J112" i="10"/>
  <c r="K112" i="10" s="1"/>
  <c r="H106" i="10" l="1"/>
  <c r="C311" i="10"/>
  <c r="L112" i="10"/>
  <c r="J114" i="10"/>
  <c r="K114" i="10" s="1"/>
  <c r="J106" i="10"/>
  <c r="K106" i="10" s="1"/>
  <c r="L110" i="10"/>
  <c r="L108" i="10"/>
  <c r="L114" i="10" l="1"/>
  <c r="L106" i="10"/>
  <c r="K116" i="10"/>
  <c r="L116" i="10" l="1"/>
  <c r="M110" i="10" l="1"/>
  <c r="N110" i="10" s="1"/>
  <c r="M108" i="10"/>
  <c r="N108" i="10" s="1"/>
  <c r="M112" i="10"/>
  <c r="N112" i="10" s="1"/>
  <c r="M106" i="10"/>
  <c r="N106" i="10" s="1"/>
  <c r="M114" i="10"/>
  <c r="N114" i="10" s="1"/>
  <c r="M116" i="10"/>
  <c r="N116" i="10" s="1"/>
  <c r="O116" i="10" s="1"/>
  <c r="P106" i="10" l="1"/>
  <c r="O106" i="10"/>
  <c r="P112" i="10"/>
  <c r="O112" i="10"/>
  <c r="P108" i="10"/>
  <c r="O108" i="10"/>
  <c r="P114" i="10"/>
  <c r="O114" i="10"/>
  <c r="P110" i="10"/>
  <c r="O110" i="10"/>
  <c r="P116" i="10" l="1"/>
</calcChain>
</file>

<file path=xl/sharedStrings.xml><?xml version="1.0" encoding="utf-8"?>
<sst xmlns="http://schemas.openxmlformats.org/spreadsheetml/2006/main" count="772" uniqueCount="308">
  <si>
    <t>Lighting</t>
  </si>
  <si>
    <t>Agricultural</t>
  </si>
  <si>
    <t>Small Commercial</t>
  </si>
  <si>
    <t>Residential</t>
  </si>
  <si>
    <t xml:space="preserve">expenditures to each class </t>
  </si>
  <si>
    <t>Allocation to customer classes based on targeted program</t>
  </si>
  <si>
    <t>Direct Allocation</t>
  </si>
  <si>
    <t>System</t>
  </si>
  <si>
    <t>Agriculture</t>
  </si>
  <si>
    <t>Med. &amp; Large C&amp;I</t>
  </si>
  <si>
    <t xml:space="preserve">Residential </t>
  </si>
  <si>
    <t>Proposed
ME&amp;O &amp; EPEEBA
Rate
($/kWh)</t>
  </si>
  <si>
    <t>Proposed EPEEBA Rate
($/kWh)</t>
  </si>
  <si>
    <t>Revenue
Requirement
EPEEBA
($)</t>
  </si>
  <si>
    <t>EPEEBA Rate Calculation</t>
  </si>
  <si>
    <t>Revenue
Check</t>
  </si>
  <si>
    <t>Rate Cap
Check</t>
  </si>
  <si>
    <t>New Rate</t>
  </si>
  <si>
    <t xml:space="preserve">Revenue
Requirement
Reallocate </t>
  </si>
  <si>
    <t>Re-Allocate</t>
  </si>
  <si>
    <t>Rate Cap</t>
  </si>
  <si>
    <t>Proposed 
EPIC &amp; EE Rate
($/kWh)</t>
  </si>
  <si>
    <t>Proposed 
EE Rate
($/kWh)</t>
  </si>
  <si>
    <t>Revenue
Requirement
EE
($)</t>
  </si>
  <si>
    <t>EE Rate Calculation</t>
  </si>
  <si>
    <t>Proposed EPIC Rate
($/kWh)</t>
  </si>
  <si>
    <t xml:space="preserve">Revenue
Requirement
EPIC
($) </t>
  </si>
  <si>
    <t>EPIC Rate Calculation</t>
  </si>
  <si>
    <t>Non-Low Income Programs</t>
  </si>
  <si>
    <t>Total</t>
  </si>
  <si>
    <t>Proposed
LIEE Surcharge Rate
($/kWh)</t>
  </si>
  <si>
    <t>Revenue Requirement
LIEE
($)</t>
  </si>
  <si>
    <t>Surcharge Calculation</t>
  </si>
  <si>
    <t xml:space="preserve">Total </t>
  </si>
  <si>
    <t>System Total</t>
  </si>
  <si>
    <t>Non-Lighting Sales
(kWh)</t>
  </si>
  <si>
    <t>Total LIEE (ESAP) Program Costs</t>
  </si>
  <si>
    <t>Amortization</t>
  </si>
  <si>
    <t>Funding</t>
  </si>
  <si>
    <t>LIEE (ESAP) Rate Calculation</t>
  </si>
  <si>
    <t>Proposed 
CARE Surcharge Rate
($/KWh)</t>
  </si>
  <si>
    <t>Revenue Requirement
CARE
($)</t>
  </si>
  <si>
    <t>CARE Surcharge Calculation</t>
  </si>
  <si>
    <t>Streetlighting</t>
  </si>
  <si>
    <t>M/L C&amp;I</t>
  </si>
  <si>
    <t>Res</t>
  </si>
  <si>
    <t>Total PPP Allocation</t>
  </si>
  <si>
    <t>Total Rev Req</t>
  </si>
  <si>
    <t>Non-CARE &amp; Non-Lighting
Sales</t>
  </si>
  <si>
    <t>CARE Sales 
(kWh)</t>
  </si>
  <si>
    <t>CARE Program</t>
  </si>
  <si>
    <t>Total CARE Program Costs</t>
  </si>
  <si>
    <t>Funding (Discount)</t>
  </si>
  <si>
    <t>CARE Rate Calculation</t>
  </si>
  <si>
    <t>Low Income Programs</t>
  </si>
  <si>
    <t>EM&amp;V</t>
  </si>
  <si>
    <t>Cross Cutting</t>
  </si>
  <si>
    <t>SDGE3281</t>
  </si>
  <si>
    <t>LGP- Emerging Cities Partnership</t>
  </si>
  <si>
    <t>LGP- SEEC Partnership</t>
  </si>
  <si>
    <t>LGP- SANDAG Partnership</t>
  </si>
  <si>
    <t>LGP- Port of San Diego Partnership</t>
  </si>
  <si>
    <t>LGP- County of San Diego Partnership</t>
  </si>
  <si>
    <t>LGP- City of San Diego Partnership</t>
  </si>
  <si>
    <t>LGP- City of Chula Vista Partnership</t>
  </si>
  <si>
    <t>LInstP-San Diego County Water Authority Partnership</t>
  </si>
  <si>
    <t>LInstP-University of San Diego Partnership</t>
  </si>
  <si>
    <t>SDGE3270</t>
  </si>
  <si>
    <t>LInstP-State of California /IOU</t>
  </si>
  <si>
    <t>SDGE3269</t>
  </si>
  <si>
    <t>LInstP-UC/CSU/IOU Partnership</t>
  </si>
  <si>
    <t>SDGE3268</t>
  </si>
  <si>
    <t>LInstP-California Community College Partnership</t>
  </si>
  <si>
    <t>SDGE3267</t>
  </si>
  <si>
    <t>LInstP-CA Department of Corrections Partnership</t>
  </si>
  <si>
    <t>SDGE3266</t>
  </si>
  <si>
    <t>3P-IDEA</t>
  </si>
  <si>
    <t>SDGE3280</t>
  </si>
  <si>
    <t>3P-Res-Comprehensive Manufactured-Mobile Home</t>
  </si>
  <si>
    <t>SDGE3279</t>
  </si>
  <si>
    <t>SW-AG-Customer Services-Pump Test Services</t>
  </si>
  <si>
    <t>SDGE3235</t>
  </si>
  <si>
    <t>Industrial</t>
  </si>
  <si>
    <t>SW-Ind-Customer Services-Pump Test Services</t>
  </si>
  <si>
    <t>SDGE3291</t>
  </si>
  <si>
    <t>SW-IND-Customer Services-Audits CIEEP</t>
  </si>
  <si>
    <t>SDGE3230</t>
  </si>
  <si>
    <t>Commercial</t>
  </si>
  <si>
    <t>SW-Com-Customer Services-Pump Test Services</t>
  </si>
  <si>
    <t>SDGE3292</t>
  </si>
  <si>
    <t>SW-COM Direct Install</t>
  </si>
  <si>
    <t>SDGE3226</t>
  </si>
  <si>
    <t>SW-COM-Deemed Incentives-HVAC Commercial</t>
  </si>
  <si>
    <t>SDGE3224</t>
  </si>
  <si>
    <t>SW-CALS – Residential HVAC-QI/QM</t>
  </si>
  <si>
    <t>SDGE3212</t>
  </si>
  <si>
    <t>Local-CALS - Middle Income Direct Install (MIDI)</t>
  </si>
  <si>
    <t>SDGE3211</t>
  </si>
  <si>
    <t>SW-FIN-On-Bill Finance</t>
  </si>
  <si>
    <t>SDGE3262</t>
  </si>
  <si>
    <t>SW-IDSM-IDSM</t>
  </si>
  <si>
    <t>SDGE3282</t>
  </si>
  <si>
    <t>Local-IDSM-ME&amp;O-Behavioral Programs (EE)</t>
  </si>
  <si>
    <t>SDGE3261</t>
  </si>
  <si>
    <t>Local-IDSM-ME&amp;O-Local Marketing (EE) Business</t>
  </si>
  <si>
    <t>SDGE3260</t>
  </si>
  <si>
    <t>SDGE3259</t>
  </si>
  <si>
    <t>SW-WE&amp;T-Connections</t>
  </si>
  <si>
    <t>SDGE3255</t>
  </si>
  <si>
    <t>SW-WE&amp;T-Centergies</t>
  </si>
  <si>
    <t>SDGE3254</t>
  </si>
  <si>
    <t>SW-ET-Technology Development Support</t>
  </si>
  <si>
    <t>SDGE3248</t>
  </si>
  <si>
    <t>SW-ET-Technology Assessment Support</t>
  </si>
  <si>
    <t>SDGE3247</t>
  </si>
  <si>
    <t>SW-ET-Technology Introduction Support</t>
  </si>
  <si>
    <t>SDGE3246</t>
  </si>
  <si>
    <t>SW C&amp;S - Planning Coordination</t>
  </si>
  <si>
    <t>SDGE3253</t>
  </si>
  <si>
    <t>SW C&amp;S - Reach Codes</t>
  </si>
  <si>
    <t>SDGE3252</t>
  </si>
  <si>
    <t>SW C&amp;S - Compliance Enhancement</t>
  </si>
  <si>
    <t>SDGE3251</t>
  </si>
  <si>
    <t>SW C&amp;S - Appliance Standards Advocacy</t>
  </si>
  <si>
    <t>SDGE3250</t>
  </si>
  <si>
    <t>SW C&amp;S - Building Codes &amp; Compliance Advocacy</t>
  </si>
  <si>
    <t>SDGE3249</t>
  </si>
  <si>
    <t>SDGE3245</t>
  </si>
  <si>
    <t>SDGE3241</t>
  </si>
  <si>
    <t>SDGE3240</t>
  </si>
  <si>
    <t>SDGE3239</t>
  </si>
  <si>
    <t>SDGE3237</t>
  </si>
  <si>
    <t>SDGE3236</t>
  </si>
  <si>
    <t>SDGE3234</t>
  </si>
  <si>
    <t>SDGE3233</t>
  </si>
  <si>
    <t>SDGE3231</t>
  </si>
  <si>
    <t>SDGE3229</t>
  </si>
  <si>
    <t>SDGE3228</t>
  </si>
  <si>
    <t>SDGE3227</t>
  </si>
  <si>
    <t>SDGE3225</t>
  </si>
  <si>
    <t>SDGE3223</t>
  </si>
  <si>
    <t>SDGE3222</t>
  </si>
  <si>
    <t>M/L</t>
  </si>
  <si>
    <t>SDGE3220</t>
  </si>
  <si>
    <t>Small</t>
  </si>
  <si>
    <t>SDGE3217</t>
  </si>
  <si>
    <t>Current Comm Split</t>
  </si>
  <si>
    <t>SDGE3216</t>
  </si>
  <si>
    <t>SDGE3215</t>
  </si>
  <si>
    <t>Commercial Total</t>
  </si>
  <si>
    <t>SDGE3302</t>
  </si>
  <si>
    <t>SDGE3293</t>
  </si>
  <si>
    <t>SDGE3213</t>
  </si>
  <si>
    <t>Total w/o CC</t>
  </si>
  <si>
    <t>SDGE3209</t>
  </si>
  <si>
    <t>SL</t>
  </si>
  <si>
    <t>Ag</t>
  </si>
  <si>
    <t>SW-CALS-MFEER</t>
  </si>
  <si>
    <t>SDGE3207</t>
  </si>
  <si>
    <t>SDGE3204</t>
  </si>
  <si>
    <t>SDGE3203</t>
  </si>
  <si>
    <t>SDGE3201</t>
  </si>
  <si>
    <t>Total %</t>
  </si>
  <si>
    <t>With CC $</t>
  </si>
  <si>
    <t>$ Before Cross Cutting</t>
  </si>
  <si>
    <t>Market Sector</t>
  </si>
  <si>
    <t>DESCRIPTION</t>
  </si>
  <si>
    <t>Description - This page</t>
  </si>
  <si>
    <t>Updated PPP - Calculation</t>
  </si>
  <si>
    <t>Calculation of Updated PPP Revenue Allocation</t>
  </si>
  <si>
    <t>Calculation of Current PPP Revenue Allocation</t>
  </si>
  <si>
    <t>Current PPP - Calculation</t>
  </si>
  <si>
    <t>EE Calculations</t>
  </si>
  <si>
    <t>EE Summary</t>
  </si>
  <si>
    <t>2016 GRC P2 Sales TY 2018
(kWh)</t>
  </si>
  <si>
    <t>Authorized Allocation per D.17-08-030</t>
  </si>
  <si>
    <t>2016 GRC P2 Sales TY 2018</t>
  </si>
  <si>
    <t>FERA Discount</t>
  </si>
  <si>
    <t>FERA Discount Surcharge Calculation</t>
  </si>
  <si>
    <t>Total FERA Program Costs</t>
  </si>
  <si>
    <r>
      <t>FERA Surcharge Calculation</t>
    </r>
    <r>
      <rPr>
        <b/>
        <u/>
        <vertAlign val="superscript"/>
        <sz val="10"/>
        <rFont val="Arial"/>
        <family val="2"/>
      </rPr>
      <t>1</t>
    </r>
  </si>
  <si>
    <t>Revenue Requirement
FERA
($)</t>
  </si>
  <si>
    <t>Proposed 
FERA Surcharge Rate
($/kWh)</t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</si>
  <si>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>Pursuant to D.15-07-001, the FERA discount changed to an effective line-item discount.  Pursuant to AL 2783-E, the FERA discount is being collected in PPP rates, similarly to the CARE discount (non-CARE and non-Lighting). Thus, CARE customers are exempt from paying the FERA discount surcharge.</t>
    </r>
  </si>
  <si>
    <t>Other Programs</t>
  </si>
  <si>
    <t>CSI Rate Calculation</t>
  </si>
  <si>
    <t>Total CSI Program Costs</t>
  </si>
  <si>
    <t>CSI Program</t>
  </si>
  <si>
    <t>CARE/FERA Sales 
(kWh)</t>
  </si>
  <si>
    <t>Non-CARE/FERA
Sales
(kW)</t>
  </si>
  <si>
    <t>NCD Determinants - Class</t>
  </si>
  <si>
    <t>NCD Applicable Determinants</t>
  </si>
  <si>
    <t>Energy Applicable Determinants</t>
  </si>
  <si>
    <t>See to the Right</t>
  </si>
  <si>
    <t>CSI Calculation</t>
  </si>
  <si>
    <t>Revenue Requirement
CSI
($)</t>
  </si>
  <si>
    <t>Proposed 
CSI NCD Rate
($/kW)</t>
  </si>
  <si>
    <t>Proposed 
CSI Energy Rate
($/kWh)</t>
  </si>
  <si>
    <t>*Schedules AL-TOU and AL-TOU2 voltage levels Secondary Substation, Primary Substation, and Transmission receive NCD charge instead of energy; Schedule A6-TOU (all voltage levels) receives NCD charge instead of energy</t>
  </si>
  <si>
    <t>SGIP Rate Calculation</t>
  </si>
  <si>
    <t>SGIP Program</t>
  </si>
  <si>
    <t>SGIP Calculation</t>
  </si>
  <si>
    <t>Revenue Requirement
SGIP
($)</t>
  </si>
  <si>
    <t>Proposed 
SGIP NCD Rate
($/kW)</t>
  </si>
  <si>
    <t>Proposed 
SGIP Energy Rate
($/kWh)</t>
  </si>
  <si>
    <t>Residential ($/kWh)</t>
  </si>
  <si>
    <t>Small Commercial ($/kWh)</t>
  </si>
  <si>
    <t>Energy ($/kWh)</t>
  </si>
  <si>
    <t>NCD ($/kW)</t>
  </si>
  <si>
    <t>Energy w/o CSI and SGIP($/kWh)</t>
  </si>
  <si>
    <t>Agriculture ($/kWh)</t>
  </si>
  <si>
    <t>Lighting ($/kW)</t>
  </si>
  <si>
    <t>System ($/kWh)</t>
  </si>
  <si>
    <t xml:space="preserve">DR      </t>
  </si>
  <si>
    <t>ALTOUCP2</t>
  </si>
  <si>
    <t xml:space="preserve">ALTOU   </t>
  </si>
  <si>
    <t xml:space="preserve">DM      </t>
  </si>
  <si>
    <t xml:space="preserve">DRSES   </t>
  </si>
  <si>
    <t xml:space="preserve">EVTOU2  </t>
  </si>
  <si>
    <t xml:space="preserve">TOUDR1  </t>
  </si>
  <si>
    <t xml:space="preserve">PAT1    </t>
  </si>
  <si>
    <t xml:space="preserve">DRLI    </t>
  </si>
  <si>
    <t>Small Comm</t>
  </si>
  <si>
    <t>SGIP Summary</t>
  </si>
  <si>
    <t>SGIP Explained</t>
  </si>
  <si>
    <t>SGIP Full Report</t>
  </si>
  <si>
    <t>SDG&amp;E</t>
  </si>
  <si>
    <t>Plan ID</t>
  </si>
  <si>
    <t>Program Name</t>
  </si>
  <si>
    <t>SW-ME&amp;O  (1)</t>
  </si>
  <si>
    <t>EM&amp;V-Evaluation Measurement &amp; Verification</t>
  </si>
  <si>
    <t>0 Total</t>
  </si>
  <si>
    <t>SW-AG-Customer Services-Benchmarking</t>
  </si>
  <si>
    <t>Public</t>
  </si>
  <si>
    <t>SW-AG-Customer Services-Audits</t>
  </si>
  <si>
    <t>SW-AG-Calculated Incentives-Calculated</t>
  </si>
  <si>
    <t>Grand Total</t>
  </si>
  <si>
    <t>SW-AG-Deemed Incentives</t>
  </si>
  <si>
    <t>SDGE3322</t>
  </si>
  <si>
    <t xml:space="preserve">STREAMLINED AG EFFICIENCY (SAE) PRGM </t>
  </si>
  <si>
    <t>Agricultural Total</t>
  </si>
  <si>
    <t>SW-COM-Continuous Energy Improvement</t>
  </si>
  <si>
    <t>SW-COM-Customer Services-Benchmarking</t>
  </si>
  <si>
    <t>SW-COM-Customer Services- Audits NonRes</t>
  </si>
  <si>
    <t>SW-COM-Calculated Incentives-Calculated</t>
  </si>
  <si>
    <t>SW-COM-Calculated Incentives-Savings by Design</t>
  </si>
  <si>
    <t>SW-COM-Deemed Incentives-Commercial Rebates</t>
  </si>
  <si>
    <t>SW-COM-Deemed Incentives-HVAC Core</t>
  </si>
  <si>
    <t>SDGE3311</t>
  </si>
  <si>
    <t>3P - Energy Advantage Program EAP</t>
  </si>
  <si>
    <t>SDGE3317</t>
  </si>
  <si>
    <t>HOPPs - Building Retro-Commissioning (7)</t>
  </si>
  <si>
    <t>SW-Lighting-Lighting Market Transformation</t>
  </si>
  <si>
    <t>SW-Lighting-Lighting Innovation-ETPC MD</t>
  </si>
  <si>
    <t>SW-Lighting-Primary Lighting</t>
  </si>
  <si>
    <t>Cross Cutting Total</t>
  </si>
  <si>
    <t>SW-IND-Continuous Energy Improvement</t>
  </si>
  <si>
    <t>SW-IND-Customer Services-Benchmarking</t>
  </si>
  <si>
    <t>SW-IND-Customer Services-Audits NonRes</t>
  </si>
  <si>
    <t>SW-IND-Calculated Incentives-Calculated</t>
  </si>
  <si>
    <t>SW-IND-Deemed Incentives</t>
  </si>
  <si>
    <t>Industrial Total</t>
  </si>
  <si>
    <t>Public Total</t>
  </si>
  <si>
    <t>SW-CALS-Energy Advisor-HEES, UAT</t>
  </si>
  <si>
    <t>SW-CALS-Plug Load and Appliances-HEER</t>
  </si>
  <si>
    <t>SW-CALS-Plug Load and Appliances-POS Rebates</t>
  </si>
  <si>
    <t>SW-CALS - EUC WHRP - Advanced</t>
  </si>
  <si>
    <t>SW-CALS - CAHP/ESMH-CA Advanced Homes</t>
  </si>
  <si>
    <t xml:space="preserve">SW-CALS – Residential HVAC-HVAC Core </t>
  </si>
  <si>
    <t>SW-CALS - RESIDENTIAL HVAC UPSTREAM</t>
  </si>
  <si>
    <t>SDGE3318</t>
  </si>
  <si>
    <t>HOPPs - Multi Family (7)</t>
  </si>
  <si>
    <t>Residential Total</t>
  </si>
  <si>
    <t>SW ME&amp;O</t>
  </si>
  <si>
    <t>With EM&amp;O/EM&amp;V $</t>
  </si>
  <si>
    <t>% Before CC &amp; EM&amp;O/EM&amp;V</t>
  </si>
  <si>
    <t>Total w/o EM&amp;O/EM&amp;V</t>
  </si>
  <si>
    <t>Allocation to SL based on current allocation</t>
  </si>
  <si>
    <t>Funding (Discount &amp; Admin Costs)</t>
  </si>
  <si>
    <t>Food Bank Rate Calculation</t>
  </si>
  <si>
    <t>Food Bank Program</t>
  </si>
  <si>
    <r>
      <t>Food Bank Surcharge Calculation</t>
    </r>
    <r>
      <rPr>
        <b/>
        <u/>
        <vertAlign val="superscript"/>
        <sz val="10"/>
        <rFont val="Arial"/>
        <family val="2"/>
      </rPr>
      <t>2</t>
    </r>
  </si>
  <si>
    <t>Revenue Requirement
Food Bank
($)</t>
  </si>
  <si>
    <t>Proposed 
Food Bank Surcharge Rate
($/KWh)</t>
  </si>
  <si>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Pursuant to D.17-08-030, the Food Bank discount is being collected in PPP rates, similarly to the CARE discount (non-CARE and non-Lighting). Thus, CARE customers are exempt from paying the Food Bank discount surcharge.</t>
    </r>
  </si>
  <si>
    <t xml:space="preserve">Calculation of EE Revenue Allocations </t>
  </si>
  <si>
    <t>SGIP Allocation Calculation</t>
  </si>
  <si>
    <t>Calculation Explained</t>
  </si>
  <si>
    <t>2019 GRC P2 Sales TY 2020
(kWh)</t>
  </si>
  <si>
    <t xml:space="preserve">Proposed Allocation </t>
  </si>
  <si>
    <t>2019 Energy Efficiency Budgets</t>
  </si>
  <si>
    <r>
      <t xml:space="preserve">The 2019 budget as filed in the 2019 ABAL and approved by </t>
    </r>
    <r>
      <rPr>
        <b/>
        <sz val="14"/>
        <color rgb="FFFF0000"/>
        <rFont val="Calibri"/>
        <family val="2"/>
        <scheme val="minor"/>
      </rPr>
      <t xml:space="preserve">Decision 18-05-041 </t>
    </r>
  </si>
  <si>
    <t>SDGE 3271</t>
  </si>
  <si>
    <t>SDGE 3272</t>
  </si>
  <si>
    <t>SDGE 3273</t>
  </si>
  <si>
    <t>SDGE 3274</t>
  </si>
  <si>
    <t>SDGE 3275</t>
  </si>
  <si>
    <t>SDGE 3276</t>
  </si>
  <si>
    <t>SDGE 3277</t>
  </si>
  <si>
    <t>SDGE 3278</t>
  </si>
  <si>
    <t>Water Energy Nexus (WEN) (4)</t>
  </si>
  <si>
    <t>SDGE3324</t>
  </si>
  <si>
    <t>SAN DIEGO GAS &amp; ELECTRIC COMPANY</t>
  </si>
  <si>
    <t>TEST YEAR 2019 GENERAL RATE CASE PHASE 2, APPLICATION 19-03-002</t>
  </si>
  <si>
    <t xml:space="preserve">REVENUE ALLOCATION WORKPAPERS - CHAPTER 2 </t>
  </si>
  <si>
    <t xml:space="preserve">Rate Schedule </t>
  </si>
  <si>
    <t>Project Amount</t>
  </si>
  <si>
    <t xml:space="preserve">The 2019 budget as filed in the 2019 ABAL and approved by Decision 18-05-041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</si>
</sst>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6" formatCode="&quot;$&quot;#,##0_);[Red]\(&quot;$&quot;#,##0\)"/>
    <numFmt numFmtId="8" formatCode="&quot;$&quot;#,##0.00_);[Red]\(&quot;$&quot;#,##0.00\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000_);[Red]\(&quot;$&quot;#,##0.00000\)"/>
    <numFmt numFmtId="165" formatCode="0.0%"/>
    <numFmt numFmtId="166" formatCode="General_)"/>
    <numFmt numFmtId="167" formatCode="0.000%"/>
    <numFmt numFmtId="168" formatCode="_(* #,##0.00000_);_(* \(#,##0.00000\);_(* &quot;-&quot;??_);_(@_)"/>
    <numFmt numFmtId="169" formatCode="#,##0.00000_);[Red]\(#,##0.00000\)"/>
    <numFmt numFmtId="170" formatCode="_(* #,##0_);_(* \(#,##0\);_(* &quot;-&quot;??_);_(@_)"/>
    <numFmt numFmtId="171" formatCode="0.00000_);[Red]\(0.00000\)"/>
    <numFmt numFmtId="172" formatCode="0.0"/>
    <numFmt numFmtId="173" formatCode="0.00000"/>
    <numFmt numFmtId="174" formatCode="_(&quot;$&quot;* #,##0_);_(&quot;$&quot;* \(#,##0\);_(&quot;$&quot;* &quot;-&quot;??_);_(@_)"/>
    <numFmt numFmtId="175" formatCode="&quot;$&quot;#,##0.000000_);[Red]\(&quot;$&quot;#,##0.000000\)"/>
    <numFmt numFmtId="176" formatCode="_(&quot;$&quot;* #,##0.0000_);_(&quot;$&quot;* \(#,##0.0000\);_(&quot;$&quot;* &quot;-&quot;??_);_(@_)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name val="MS Sans Serif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12"/>
      <name val="Arial"/>
      <family val="2"/>
    </font>
    <font>
      <sz val="7"/>
      <name val="Arial"/>
      <family val="2"/>
    </font>
    <font>
      <sz val="10"/>
      <name val="Times New Roman"/>
      <family val="1"/>
    </font>
    <font>
      <sz val="12"/>
      <color indexed="8"/>
      <name val="Calibri"/>
      <family val="2"/>
    </font>
    <font>
      <sz val="10"/>
      <name val="System"/>
      <family val="2"/>
    </font>
    <font>
      <b/>
      <sz val="14"/>
      <name val="Arial"/>
      <family val="2"/>
    </font>
    <font>
      <b/>
      <sz val="10"/>
      <color indexed="23"/>
      <name val="Lucida Console"/>
      <family val="3"/>
    </font>
    <font>
      <sz val="10"/>
      <color indexed="9"/>
      <name val="Arial"/>
      <family val="2"/>
    </font>
    <font>
      <b/>
      <i/>
      <sz val="10"/>
      <color indexed="10"/>
      <name val="Arial"/>
      <family val="2"/>
    </font>
    <font>
      <b/>
      <i/>
      <sz val="10"/>
      <color indexed="63"/>
      <name val="Arial"/>
      <family val="2"/>
    </font>
    <font>
      <sz val="10"/>
      <color indexed="8"/>
      <name val="Arial"/>
      <family val="2"/>
    </font>
    <font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u/>
      <vertAlign val="superscript"/>
      <sz val="10"/>
      <name val="Arial"/>
      <family val="2"/>
    </font>
    <font>
      <vertAlign val="superscript"/>
      <sz val="10"/>
      <name val="Arial"/>
      <family val="2"/>
    </font>
    <font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4" tint="-0.49998474074526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59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-0.249977111117893"/>
        <bgColor theme="4" tint="-0.249977111117893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4" tint="0.79998168889431442"/>
        <bgColor theme="4" tint="0.79998168889431442"/>
      </patternFill>
    </fill>
  </fills>
  <borders count="32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23"/>
      </left>
      <right/>
      <top style="medium">
        <color indexed="23"/>
      </top>
      <bottom/>
      <diagonal/>
    </border>
    <border>
      <left/>
      <right/>
      <top style="medium">
        <color indexed="23"/>
      </top>
      <bottom/>
      <diagonal/>
    </border>
    <border>
      <left/>
      <right style="medium">
        <color indexed="23"/>
      </right>
      <top style="medium">
        <color indexed="23"/>
      </top>
      <bottom/>
      <diagonal/>
    </border>
    <border>
      <left style="medium">
        <color indexed="61"/>
      </left>
      <right/>
      <top/>
      <bottom/>
      <diagonal/>
    </border>
    <border>
      <left style="medium">
        <color indexed="60"/>
      </left>
      <right/>
      <top/>
      <bottom/>
      <diagonal/>
    </border>
    <border>
      <left style="medium">
        <color indexed="59"/>
      </left>
      <right/>
      <top/>
      <bottom/>
      <diagonal/>
    </border>
    <border>
      <left style="medium">
        <color indexed="61"/>
      </left>
      <right style="medium">
        <color indexed="61"/>
      </right>
      <top style="medium">
        <color indexed="61"/>
      </top>
      <bottom style="medium">
        <color indexed="61"/>
      </bottom>
      <diagonal/>
    </border>
    <border>
      <left style="medium">
        <color indexed="60"/>
      </left>
      <right style="medium">
        <color indexed="60"/>
      </right>
      <top style="medium">
        <color indexed="60"/>
      </top>
      <bottom style="medium">
        <color indexed="60"/>
      </bottom>
      <diagonal/>
    </border>
    <border>
      <left style="medium">
        <color indexed="59"/>
      </left>
      <right style="medium">
        <color indexed="59"/>
      </right>
      <top style="medium">
        <color indexed="59"/>
      </top>
      <bottom style="medium">
        <color indexed="59"/>
      </bottom>
      <diagonal/>
    </border>
    <border>
      <left/>
      <right/>
      <top/>
      <bottom style="medium">
        <color indexed="8"/>
      </bottom>
      <diagonal/>
    </border>
    <border>
      <left/>
      <right/>
      <top style="thin">
        <color theme="4" tint="-0.249977111117893"/>
      </top>
      <bottom style="thin">
        <color theme="4" tint="0.79998168889431442"/>
      </bottom>
      <diagonal/>
    </border>
    <border>
      <left/>
      <right/>
      <top style="thin">
        <color theme="4" tint="0.79998168889431442"/>
      </top>
      <bottom style="thin">
        <color theme="4" tint="0.79998168889431442"/>
      </bottom>
      <diagonal/>
    </border>
    <border>
      <left/>
      <right/>
      <top style="thin">
        <color theme="4" tint="0.79998168889431442"/>
      </top>
      <bottom style="thin">
        <color theme="4" tint="0.39997558519241921"/>
      </bottom>
      <diagonal/>
    </border>
    <border>
      <left/>
      <right/>
      <top style="thin">
        <color theme="4" tint="0.79998168889431442"/>
      </top>
      <bottom style="thin">
        <color theme="4"/>
      </bottom>
      <diagonal/>
    </border>
    <border>
      <left/>
      <right/>
      <top style="thin">
        <color theme="4" tint="0.39997558519241921"/>
      </top>
      <bottom style="thin">
        <color theme="4" tint="0.79998168889431442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double">
        <color theme="4" tint="-0.249977111117893"/>
      </top>
      <bottom/>
      <diagonal/>
    </border>
    <border>
      <left/>
      <right/>
      <top/>
      <bottom style="thin">
        <color theme="4" tint="0.79998168889431442"/>
      </bottom>
      <diagonal/>
    </border>
    <border>
      <left/>
      <right/>
      <top style="thin">
        <color theme="9" tint="0.79998168889431442"/>
      </top>
      <bottom style="thin">
        <color theme="9" tint="0.79998168889431442"/>
      </bottom>
      <diagonal/>
    </border>
  </borders>
  <cellStyleXfs count="83">
    <xf numFmtId="0" fontId="0" fillId="0" borderId="0"/>
    <xf numFmtId="0" fontId="2" fillId="0" borderId="0"/>
    <xf numFmtId="0" fontId="2" fillId="0" borderId="0"/>
    <xf numFmtId="166" fontId="3" fillId="0" borderId="0"/>
    <xf numFmtId="9" fontId="4" fillId="0" borderId="0" applyFont="0" applyFill="0" applyBorder="0" applyAlignment="0" applyProtection="0"/>
    <xf numFmtId="40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166" fontId="8" fillId="0" borderId="0"/>
    <xf numFmtId="43" fontId="2" fillId="0" borderId="0" applyFont="0" applyFill="0" applyBorder="0" applyAlignment="0" applyProtection="0"/>
    <xf numFmtId="40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0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9" fillId="0" borderId="0" applyFont="0" applyFill="0" applyBorder="0" applyAlignment="0" applyProtection="0"/>
    <xf numFmtId="8" fontId="4" fillId="0" borderId="0" applyFont="0" applyFill="0" applyBorder="0" applyAlignment="0" applyProtection="0"/>
    <xf numFmtId="44" fontId="10" fillId="0" borderId="0" applyFont="0" applyFill="0" applyBorder="0" applyAlignment="0" applyProtection="0"/>
    <xf numFmtId="8" fontId="4" fillId="0" borderId="0" applyFont="0" applyFill="0" applyBorder="0" applyAlignment="0" applyProtection="0"/>
    <xf numFmtId="166" fontId="3" fillId="0" borderId="0"/>
    <xf numFmtId="166" fontId="3" fillId="0" borderId="0"/>
    <xf numFmtId="0" fontId="1" fillId="0" borderId="0"/>
    <xf numFmtId="0" fontId="1" fillId="0" borderId="0"/>
    <xf numFmtId="0" fontId="1" fillId="0" borderId="0"/>
    <xf numFmtId="0" fontId="2" fillId="0" borderId="0"/>
    <xf numFmtId="166" fontId="3" fillId="0" borderId="0"/>
    <xf numFmtId="0" fontId="11" fillId="0" borderId="0"/>
    <xf numFmtId="0" fontId="2" fillId="0" borderId="0"/>
    <xf numFmtId="0" fontId="2" fillId="0" borderId="0"/>
    <xf numFmtId="0" fontId="2" fillId="0" borderId="0"/>
    <xf numFmtId="166" fontId="3" fillId="0" borderId="0"/>
    <xf numFmtId="0" fontId="2" fillId="0" borderId="0"/>
    <xf numFmtId="166" fontId="3" fillId="0" borderId="0"/>
    <xf numFmtId="166" fontId="3" fillId="0" borderId="0"/>
    <xf numFmtId="0" fontId="2" fillId="0" borderId="0"/>
    <xf numFmtId="0" fontId="1" fillId="0" borderId="0"/>
    <xf numFmtId="166" fontId="3" fillId="0" borderId="0"/>
    <xf numFmtId="166" fontId="3" fillId="0" borderId="0"/>
    <xf numFmtId="0" fontId="2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" fillId="0" borderId="0" applyNumberFormat="0" applyFont="0" applyBorder="0" applyAlignment="0" applyProtection="0"/>
    <xf numFmtId="0" fontId="12" fillId="0" borderId="0" applyNumberFormat="0" applyFill="0" applyBorder="0" applyAlignment="0" applyProtection="0"/>
    <xf numFmtId="0" fontId="5" fillId="3" borderId="0" applyNumberFormat="0" applyBorder="0" applyProtection="0">
      <alignment wrapText="1"/>
    </xf>
    <xf numFmtId="0" fontId="5" fillId="0" borderId="0" applyNumberFormat="0" applyFill="0" applyBorder="0" applyProtection="0">
      <alignment wrapText="1"/>
    </xf>
    <xf numFmtId="0" fontId="3" fillId="0" borderId="0" applyNumberFormat="0" applyFill="0" applyBorder="0" applyProtection="0">
      <alignment vertical="top" wrapText="1"/>
    </xf>
    <xf numFmtId="0" fontId="13" fillId="0" borderId="0" applyNumberFormat="0" applyFill="0" applyBorder="0" applyAlignment="0" applyProtection="0"/>
    <xf numFmtId="0" fontId="2" fillId="0" borderId="13" applyNumberFormat="0" applyFont="0" applyFill="0" applyAlignment="0" applyProtection="0"/>
    <xf numFmtId="0" fontId="2" fillId="0" borderId="14" applyNumberFormat="0" applyFont="0" applyFill="0" applyAlignment="0" applyProtection="0"/>
    <xf numFmtId="0" fontId="2" fillId="0" borderId="15" applyNumberFormat="0" applyFont="0" applyFill="0" applyAlignment="0" applyProtection="0"/>
    <xf numFmtId="0" fontId="14" fillId="4" borderId="16" applyNumberFormat="0" applyAlignment="0" applyProtection="0"/>
    <xf numFmtId="0" fontId="14" fillId="5" borderId="17" applyNumberFormat="0" applyAlignment="0" applyProtection="0"/>
    <xf numFmtId="0" fontId="2" fillId="6" borderId="18" applyNumberFormat="0" applyFont="0" applyAlignment="0" applyProtection="0"/>
    <xf numFmtId="0" fontId="2" fillId="7" borderId="19" applyNumberFormat="0" applyFont="0" applyAlignment="0" applyProtection="0"/>
    <xf numFmtId="0" fontId="2" fillId="8" borderId="20" applyNumberFormat="0" applyFont="0" applyAlignment="0" applyProtection="0"/>
    <xf numFmtId="0" fontId="2" fillId="9" borderId="21" applyNumberFormat="0" applyFont="0" applyAlignment="0" applyProtection="0"/>
    <xf numFmtId="0" fontId="2" fillId="10" borderId="0" applyNumberFormat="0" applyFont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22" applyNumberFormat="0" applyFill="0" applyAlignment="0" applyProtection="0"/>
    <xf numFmtId="0" fontId="2" fillId="0" borderId="0" applyNumberFormat="0" applyFont="0" applyBorder="0" applyAlignment="0" applyProtection="0"/>
    <xf numFmtId="44" fontId="3" fillId="0" borderId="0" applyFont="0" applyFill="0" applyBorder="0" applyAlignment="0" applyProtection="0"/>
    <xf numFmtId="0" fontId="2" fillId="0" borderId="0"/>
    <xf numFmtId="40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2" fillId="0" borderId="0"/>
    <xf numFmtId="0" fontId="24" fillId="0" borderId="0"/>
  </cellStyleXfs>
  <cellXfs count="192">
    <xf numFmtId="0" fontId="0" fillId="0" borderId="0" xfId="0"/>
    <xf numFmtId="10" fontId="2" fillId="0" borderId="0" xfId="4" applyNumberFormat="1" applyFont="1"/>
    <xf numFmtId="0" fontId="5" fillId="0" borderId="0" xfId="1" applyFont="1"/>
    <xf numFmtId="166" fontId="3" fillId="0" borderId="0" xfId="23"/>
    <xf numFmtId="166" fontId="3" fillId="0" borderId="0" xfId="23" applyFill="1"/>
    <xf numFmtId="0" fontId="2" fillId="0" borderId="0" xfId="42" applyFont="1" applyFill="1" applyBorder="1"/>
    <xf numFmtId="174" fontId="2" fillId="0" borderId="0" xfId="42" applyNumberFormat="1" applyFont="1" applyFill="1" applyBorder="1"/>
    <xf numFmtId="0" fontId="5" fillId="0" borderId="0" xfId="42" applyFont="1" applyFill="1" applyBorder="1"/>
    <xf numFmtId="0" fontId="5" fillId="0" borderId="0" xfId="42" applyFont="1" applyFill="1" applyBorder="1" applyAlignment="1">
      <alignment wrapText="1"/>
    </xf>
    <xf numFmtId="0" fontId="5" fillId="0" borderId="0" xfId="42" applyFont="1" applyFill="1" applyBorder="1" applyAlignment="1">
      <alignment horizontal="right"/>
    </xf>
    <xf numFmtId="14" fontId="5" fillId="0" borderId="0" xfId="23" applyNumberFormat="1" applyFont="1" applyAlignment="1">
      <alignment horizontal="centerContinuous"/>
    </xf>
    <xf numFmtId="166" fontId="5" fillId="0" borderId="0" xfId="23" applyFont="1" applyAlignment="1">
      <alignment horizontal="centerContinuous"/>
    </xf>
    <xf numFmtId="1" fontId="5" fillId="0" borderId="0" xfId="77" applyNumberFormat="1" applyFont="1" applyAlignment="1">
      <alignment horizontal="center"/>
    </xf>
    <xf numFmtId="0" fontId="5" fillId="0" borderId="0" xfId="77" applyFont="1"/>
    <xf numFmtId="0" fontId="5" fillId="0" borderId="0" xfId="77" applyFont="1" applyAlignment="1">
      <alignment wrapText="1"/>
    </xf>
    <xf numFmtId="0" fontId="5" fillId="0" borderId="0" xfId="77" applyFont="1" applyFill="1"/>
    <xf numFmtId="0" fontId="5" fillId="0" borderId="0" xfId="1" applyFont="1" applyAlignment="1"/>
    <xf numFmtId="10" fontId="2" fillId="0" borderId="0" xfId="44" applyNumberFormat="1" applyFont="1" applyFill="1" applyAlignment="1">
      <alignment horizontal="right"/>
    </xf>
    <xf numFmtId="170" fontId="2" fillId="0" borderId="0" xfId="11" applyNumberFormat="1" applyFont="1" applyFill="1" applyAlignment="1">
      <alignment horizontal="left"/>
    </xf>
    <xf numFmtId="170" fontId="5" fillId="0" borderId="0" xfId="11" applyNumberFormat="1" applyFont="1" applyFill="1" applyAlignment="1">
      <alignment horizontal="center"/>
    </xf>
    <xf numFmtId="170" fontId="5" fillId="0" borderId="0" xfId="11" applyNumberFormat="1" applyFont="1" applyFill="1" applyAlignment="1">
      <alignment horizontal="right"/>
    </xf>
    <xf numFmtId="170" fontId="2" fillId="2" borderId="0" xfId="11" applyNumberFormat="1" applyFont="1" applyFill="1" applyAlignment="1">
      <alignment horizontal="left"/>
    </xf>
    <xf numFmtId="0" fontId="0" fillId="0" borderId="0" xfId="0" applyAlignment="1">
      <alignment horizontal="center"/>
    </xf>
    <xf numFmtId="0" fontId="24" fillId="0" borderId="0" xfId="82"/>
    <xf numFmtId="8" fontId="0" fillId="0" borderId="0" xfId="0" applyNumberFormat="1" applyFill="1" applyAlignment="1">
      <alignment horizontal="center"/>
    </xf>
    <xf numFmtId="0" fontId="19" fillId="0" borderId="0" xfId="25" applyFont="1"/>
    <xf numFmtId="0" fontId="19" fillId="0" borderId="0" xfId="25" applyFont="1" applyFill="1" applyBorder="1"/>
    <xf numFmtId="0" fontId="25" fillId="0" borderId="0" xfId="30" applyFont="1" applyFill="1"/>
    <xf numFmtId="8" fontId="24" fillId="0" borderId="0" xfId="82" applyNumberFormat="1"/>
    <xf numFmtId="9" fontId="24" fillId="0" borderId="0" xfId="82" applyNumberFormat="1"/>
    <xf numFmtId="6" fontId="24" fillId="0" borderId="0" xfId="82" applyNumberFormat="1"/>
    <xf numFmtId="0" fontId="28" fillId="0" borderId="0" xfId="0" applyFont="1" applyAlignment="1"/>
    <xf numFmtId="0" fontId="28" fillId="0" borderId="0" xfId="0" applyFont="1" applyFill="1" applyAlignment="1"/>
    <xf numFmtId="0" fontId="27" fillId="11" borderId="23" xfId="0" applyFont="1" applyFill="1" applyBorder="1"/>
    <xf numFmtId="43" fontId="27" fillId="11" borderId="23" xfId="0" applyNumberFormat="1" applyFont="1" applyFill="1" applyBorder="1"/>
    <xf numFmtId="0" fontId="0" fillId="0" borderId="24" xfId="0" applyFont="1" applyBorder="1"/>
    <xf numFmtId="43" fontId="0" fillId="0" borderId="24" xfId="0" applyNumberFormat="1" applyFont="1" applyBorder="1"/>
    <xf numFmtId="0" fontId="27" fillId="12" borderId="25" xfId="0" applyFont="1" applyFill="1" applyBorder="1"/>
    <xf numFmtId="0" fontId="0" fillId="13" borderId="26" xfId="0" applyFont="1" applyFill="1" applyBorder="1"/>
    <xf numFmtId="0" fontId="27" fillId="12" borderId="27" xfId="0" applyFont="1" applyFill="1" applyBorder="1"/>
    <xf numFmtId="0" fontId="26" fillId="12" borderId="24" xfId="0" applyFont="1" applyFill="1" applyBorder="1"/>
    <xf numFmtId="43" fontId="26" fillId="12" borderId="24" xfId="0" applyNumberFormat="1" applyFont="1" applyFill="1" applyBorder="1"/>
    <xf numFmtId="0" fontId="27" fillId="12" borderId="28" xfId="0" applyFont="1" applyFill="1" applyBorder="1"/>
    <xf numFmtId="0" fontId="19" fillId="0" borderId="29" xfId="0" applyFont="1" applyBorder="1"/>
    <xf numFmtId="43" fontId="19" fillId="0" borderId="29" xfId="0" applyNumberFormat="1" applyFont="1" applyBorder="1"/>
    <xf numFmtId="43" fontId="2" fillId="0" borderId="0" xfId="79" applyFont="1" applyFill="1" applyBorder="1"/>
    <xf numFmtId="174" fontId="2" fillId="0" borderId="0" xfId="4" applyNumberFormat="1" applyFont="1" applyFill="1" applyBorder="1"/>
    <xf numFmtId="174" fontId="0" fillId="0" borderId="0" xfId="4" applyNumberFormat="1" applyFont="1" applyFill="1"/>
    <xf numFmtId="174" fontId="3" fillId="0" borderId="0" xfId="79" applyNumberFormat="1" applyFont="1" applyFill="1"/>
    <xf numFmtId="174" fontId="5" fillId="0" borderId="0" xfId="42" applyNumberFormat="1" applyFont="1" applyFill="1" applyBorder="1"/>
    <xf numFmtId="174" fontId="2" fillId="0" borderId="0" xfId="79" applyNumberFormat="1" applyFont="1" applyFill="1" applyBorder="1"/>
    <xf numFmtId="10" fontId="2" fillId="0" borderId="0" xfId="80" applyNumberFormat="1" applyFont="1" applyFill="1" applyBorder="1"/>
    <xf numFmtId="0" fontId="0" fillId="0" borderId="0" xfId="0" applyFill="1"/>
    <xf numFmtId="0" fontId="6" fillId="0" borderId="0" xfId="0" applyFont="1" applyFill="1" applyBorder="1"/>
    <xf numFmtId="0" fontId="7" fillId="0" borderId="0" xfId="0" applyFont="1" applyFill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left"/>
    </xf>
    <xf numFmtId="173" fontId="2" fillId="0" borderId="0" xfId="0" applyNumberFormat="1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wrapText="1"/>
    </xf>
    <xf numFmtId="0" fontId="5" fillId="0" borderId="0" xfId="0" applyFont="1" applyFill="1" applyBorder="1"/>
    <xf numFmtId="164" fontId="2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5" fillId="0" borderId="9" xfId="0" applyFont="1" applyFill="1" applyBorder="1"/>
    <xf numFmtId="0" fontId="5" fillId="0" borderId="0" xfId="0" applyFont="1" applyFill="1" applyAlignment="1">
      <alignment horizontal="center"/>
    </xf>
    <xf numFmtId="170" fontId="0" fillId="0" borderId="0" xfId="0" applyNumberFormat="1" applyFill="1"/>
    <xf numFmtId="38" fontId="2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0" fontId="2" fillId="0" borderId="0" xfId="0" applyFont="1" applyFill="1"/>
    <xf numFmtId="0" fontId="7" fillId="2" borderId="0" xfId="0" applyFont="1" applyFill="1" applyAlignment="1">
      <alignment horizontal="left"/>
    </xf>
    <xf numFmtId="0" fontId="2" fillId="0" borderId="8" xfId="0" applyFont="1" applyFill="1" applyBorder="1"/>
    <xf numFmtId="0" fontId="2" fillId="0" borderId="7" xfId="0" applyFont="1" applyFill="1" applyBorder="1"/>
    <xf numFmtId="0" fontId="2" fillId="0" borderId="6" xfId="0" applyFont="1" applyFill="1" applyBorder="1"/>
    <xf numFmtId="0" fontId="2" fillId="0" borderId="5" xfId="0" applyFont="1" applyFill="1" applyBorder="1"/>
    <xf numFmtId="0" fontId="2" fillId="0" borderId="4" xfId="0" applyFont="1" applyFill="1" applyBorder="1"/>
    <xf numFmtId="164" fontId="2" fillId="0" borderId="4" xfId="0" applyNumberFormat="1" applyFont="1" applyFill="1" applyBorder="1"/>
    <xf numFmtId="0" fontId="2" fillId="0" borderId="5" xfId="0" applyFont="1" applyFill="1" applyBorder="1" applyAlignment="1">
      <alignment horizontal="right"/>
    </xf>
    <xf numFmtId="8" fontId="2" fillId="0" borderId="4" xfId="0" applyNumberFormat="1" applyFont="1" applyFill="1" applyBorder="1"/>
    <xf numFmtId="0" fontId="2" fillId="0" borderId="3" xfId="0" applyFont="1" applyFill="1" applyBorder="1"/>
    <xf numFmtId="0" fontId="2" fillId="0" borderId="2" xfId="0" applyFont="1" applyFill="1" applyBorder="1"/>
    <xf numFmtId="164" fontId="2" fillId="0" borderId="1" xfId="0" applyNumberFormat="1" applyFont="1" applyFill="1" applyBorder="1"/>
    <xf numFmtId="38" fontId="2" fillId="0" borderId="9" xfId="0" applyNumberFormat="1" applyFont="1" applyFill="1" applyBorder="1" applyAlignment="1">
      <alignment horizontal="center"/>
    </xf>
    <xf numFmtId="0" fontId="18" fillId="0" borderId="0" xfId="42" applyFont="1" applyFill="1" applyBorder="1" applyAlignment="1">
      <alignment horizontal="right"/>
    </xf>
    <xf numFmtId="174" fontId="18" fillId="0" borderId="0" xfId="42" applyNumberFormat="1" applyFont="1" applyFill="1" applyBorder="1"/>
    <xf numFmtId="0" fontId="29" fillId="0" borderId="0" xfId="0" applyFont="1"/>
    <xf numFmtId="43" fontId="29" fillId="0" borderId="0" xfId="0" applyNumberFormat="1" applyFont="1"/>
    <xf numFmtId="0" fontId="27" fillId="12" borderId="30" xfId="0" applyFont="1" applyFill="1" applyBorder="1"/>
    <xf numFmtId="0" fontId="0" fillId="0" borderId="31" xfId="0" applyFont="1" applyBorder="1"/>
    <xf numFmtId="43" fontId="0" fillId="0" borderId="31" xfId="0" applyNumberFormat="1" applyFont="1" applyBorder="1"/>
    <xf numFmtId="43" fontId="0" fillId="0" borderId="24" xfId="0" applyNumberFormat="1" applyFont="1" applyFill="1" applyBorder="1"/>
    <xf numFmtId="0" fontId="7" fillId="0" borderId="0" xfId="0" applyFont="1" applyFill="1" applyBorder="1" applyAlignment="1">
      <alignment horizontal="left"/>
    </xf>
    <xf numFmtId="0" fontId="2" fillId="0" borderId="0" xfId="1" applyFont="1"/>
    <xf numFmtId="0" fontId="2" fillId="0" borderId="0" xfId="1" applyFont="1" applyFill="1"/>
    <xf numFmtId="0" fontId="31" fillId="0" borderId="0" xfId="0" applyFont="1" applyFill="1"/>
    <xf numFmtId="0" fontId="31" fillId="0" borderId="0" xfId="0" applyFont="1" applyFill="1" applyBorder="1"/>
    <xf numFmtId="170" fontId="2" fillId="0" borderId="0" xfId="11" applyNumberFormat="1" applyFont="1" applyFill="1" applyBorder="1"/>
    <xf numFmtId="0" fontId="31" fillId="0" borderId="0" xfId="0" applyFont="1" applyFill="1" applyBorder="1" applyAlignment="1">
      <alignment horizontal="center" vertical="center"/>
    </xf>
    <xf numFmtId="41" fontId="2" fillId="0" borderId="9" xfId="0" applyNumberFormat="1" applyFont="1" applyFill="1" applyBorder="1"/>
    <xf numFmtId="0" fontId="31" fillId="0" borderId="0" xfId="0" applyFont="1" applyFill="1" applyBorder="1" applyAlignment="1">
      <alignment horizontal="left"/>
    </xf>
    <xf numFmtId="41" fontId="31" fillId="0" borderId="0" xfId="0" applyNumberFormat="1" applyFont="1" applyFill="1" applyBorder="1" applyAlignment="1">
      <alignment horizontal="center"/>
    </xf>
    <xf numFmtId="41" fontId="2" fillId="0" borderId="0" xfId="0" applyNumberFormat="1" applyFont="1" applyFill="1" applyBorder="1"/>
    <xf numFmtId="38" fontId="2" fillId="0" borderId="0" xfId="0" applyNumberFormat="1" applyFont="1" applyFill="1" applyBorder="1" applyAlignment="1">
      <alignment horizontal="center"/>
    </xf>
    <xf numFmtId="38" fontId="31" fillId="0" borderId="0" xfId="0" applyNumberFormat="1" applyFont="1" applyFill="1" applyBorder="1" applyAlignment="1">
      <alignment horizontal="center"/>
    </xf>
    <xf numFmtId="10" fontId="2" fillId="0" borderId="0" xfId="44" applyNumberFormat="1" applyFont="1" applyFill="1" applyBorder="1"/>
    <xf numFmtId="0" fontId="2" fillId="0" borderId="0" xfId="0" applyFont="1" applyFill="1" applyBorder="1" applyAlignment="1">
      <alignment horizontal="center"/>
    </xf>
    <xf numFmtId="6" fontId="2" fillId="0" borderId="0" xfId="1" applyNumberFormat="1" applyFont="1"/>
    <xf numFmtId="8" fontId="2" fillId="0" borderId="0" xfId="1" applyNumberFormat="1" applyFont="1"/>
    <xf numFmtId="0" fontId="31" fillId="0" borderId="0" xfId="0" applyFont="1" applyFill="1" applyBorder="1" applyAlignment="1">
      <alignment horizontal="center"/>
    </xf>
    <xf numFmtId="10" fontId="31" fillId="0" borderId="0" xfId="0" applyNumberFormat="1" applyFont="1" applyFill="1" applyBorder="1" applyAlignment="1">
      <alignment horizontal="right"/>
    </xf>
    <xf numFmtId="10" fontId="31" fillId="0" borderId="9" xfId="0" applyNumberFormat="1" applyFont="1" applyFill="1" applyBorder="1" applyAlignment="1">
      <alignment horizontal="right"/>
    </xf>
    <xf numFmtId="43" fontId="5" fillId="0" borderId="0" xfId="79" applyFont="1" applyFill="1"/>
    <xf numFmtId="43" fontId="25" fillId="0" borderId="0" xfId="79" applyFont="1" applyFill="1"/>
    <xf numFmtId="0" fontId="31" fillId="0" borderId="0" xfId="0" applyFont="1" applyFill="1" applyBorder="1" applyAlignment="1">
      <alignment horizontal="right"/>
    </xf>
    <xf numFmtId="165" fontId="2" fillId="0" borderId="0" xfId="44" applyNumberFormat="1" applyFont="1" applyFill="1" applyBorder="1"/>
    <xf numFmtId="43" fontId="2" fillId="0" borderId="0" xfId="0" applyNumberFormat="1" applyFont="1" applyFill="1" applyBorder="1"/>
    <xf numFmtId="172" fontId="31" fillId="0" borderId="0" xfId="0" applyNumberFormat="1" applyFont="1" applyFill="1" applyBorder="1"/>
    <xf numFmtId="6" fontId="31" fillId="0" borderId="0" xfId="0" applyNumberFormat="1" applyFont="1" applyFill="1" applyBorder="1" applyAlignment="1">
      <alignment horizontal="right"/>
    </xf>
    <xf numFmtId="164" fontId="31" fillId="0" borderId="0" xfId="0" applyNumberFormat="1" applyFont="1" applyFill="1" applyBorder="1" applyAlignment="1">
      <alignment horizontal="right"/>
    </xf>
    <xf numFmtId="164" fontId="31" fillId="0" borderId="0" xfId="0" applyNumberFormat="1" applyFont="1" applyFill="1" applyBorder="1"/>
    <xf numFmtId="175" fontId="31" fillId="0" borderId="0" xfId="0" applyNumberFormat="1" applyFont="1" applyFill="1" applyBorder="1" applyAlignment="1">
      <alignment horizontal="right"/>
    </xf>
    <xf numFmtId="6" fontId="31" fillId="0" borderId="9" xfId="0" applyNumberFormat="1" applyFont="1" applyFill="1" applyBorder="1" applyAlignment="1">
      <alignment horizontal="right"/>
    </xf>
    <xf numFmtId="164" fontId="31" fillId="0" borderId="9" xfId="0" applyNumberFormat="1" applyFont="1" applyFill="1" applyBorder="1" applyAlignment="1">
      <alignment horizontal="right"/>
    </xf>
    <xf numFmtId="165" fontId="31" fillId="0" borderId="0" xfId="44" applyNumberFormat="1" applyFont="1" applyFill="1" applyBorder="1"/>
    <xf numFmtId="38" fontId="31" fillId="0" borderId="0" xfId="0" applyNumberFormat="1" applyFont="1" applyFill="1" applyBorder="1"/>
    <xf numFmtId="41" fontId="2" fillId="0" borderId="0" xfId="9" applyNumberFormat="1" applyFont="1" applyFill="1" applyBorder="1" applyAlignment="1">
      <alignment horizontal="right"/>
    </xf>
    <xf numFmtId="0" fontId="31" fillId="0" borderId="9" xfId="0" applyFont="1" applyFill="1" applyBorder="1"/>
    <xf numFmtId="41" fontId="2" fillId="0" borderId="9" xfId="9" applyNumberFormat="1" applyFont="1" applyFill="1" applyBorder="1" applyAlignment="1">
      <alignment horizontal="right"/>
    </xf>
    <xf numFmtId="6" fontId="31" fillId="0" borderId="0" xfId="9" applyNumberFormat="1" applyFont="1" applyFill="1" applyBorder="1" applyAlignment="1">
      <alignment horizontal="right"/>
    </xf>
    <xf numFmtId="9" fontId="2" fillId="0" borderId="9" xfId="80" applyFont="1" applyFill="1" applyBorder="1" applyAlignment="1">
      <alignment horizontal="right"/>
    </xf>
    <xf numFmtId="8" fontId="31" fillId="0" borderId="0" xfId="0" applyNumberFormat="1" applyFont="1" applyFill="1" applyBorder="1" applyAlignment="1">
      <alignment horizontal="right"/>
    </xf>
    <xf numFmtId="8" fontId="31" fillId="0" borderId="9" xfId="0" applyNumberFormat="1" applyFont="1" applyFill="1" applyBorder="1" applyAlignment="1">
      <alignment horizontal="right"/>
    </xf>
    <xf numFmtId="167" fontId="31" fillId="0" borderId="0" xfId="44" applyNumberFormat="1" applyFont="1" applyFill="1"/>
    <xf numFmtId="169" fontId="31" fillId="0" borderId="0" xfId="0" applyNumberFormat="1" applyFont="1" applyFill="1"/>
    <xf numFmtId="10" fontId="2" fillId="0" borderId="9" xfId="44" applyNumberFormat="1" applyFont="1" applyFill="1" applyBorder="1"/>
    <xf numFmtId="38" fontId="31" fillId="0" borderId="9" xfId="0" applyNumberFormat="1" applyFont="1" applyFill="1" applyBorder="1"/>
    <xf numFmtId="10" fontId="31" fillId="0" borderId="0" xfId="44" applyNumberFormat="1" applyFont="1" applyFill="1" applyBorder="1"/>
    <xf numFmtId="43" fontId="31" fillId="0" borderId="0" xfId="11" applyFont="1" applyFill="1"/>
    <xf numFmtId="169" fontId="31" fillId="0" borderId="0" xfId="0" applyNumberFormat="1" applyFont="1" applyFill="1" applyBorder="1"/>
    <xf numFmtId="168" fontId="2" fillId="0" borderId="12" xfId="11" applyNumberFormat="1" applyFont="1" applyFill="1" applyBorder="1"/>
    <xf numFmtId="171" fontId="31" fillId="0" borderId="0" xfId="0" applyNumberFormat="1" applyFont="1" applyFill="1"/>
    <xf numFmtId="170" fontId="31" fillId="0" borderId="0" xfId="11" applyNumberFormat="1" applyFont="1" applyFill="1"/>
    <xf numFmtId="38" fontId="31" fillId="0" borderId="0" xfId="0" applyNumberFormat="1" applyFont="1" applyFill="1"/>
    <xf numFmtId="10" fontId="31" fillId="0" borderId="0" xfId="44" applyNumberFormat="1" applyFont="1" applyFill="1"/>
    <xf numFmtId="168" fontId="31" fillId="0" borderId="0" xfId="11" applyNumberFormat="1" applyFont="1" applyFill="1"/>
    <xf numFmtId="170" fontId="31" fillId="0" borderId="0" xfId="0" applyNumberFormat="1" applyFont="1" applyFill="1"/>
    <xf numFmtId="0" fontId="2" fillId="0" borderId="11" xfId="0" applyFont="1" applyFill="1" applyBorder="1"/>
    <xf numFmtId="168" fontId="2" fillId="0" borderId="11" xfId="11" applyNumberFormat="1" applyFont="1" applyFill="1" applyBorder="1"/>
    <xf numFmtId="168" fontId="2" fillId="0" borderId="10" xfId="11" applyNumberFormat="1" applyFont="1" applyFill="1" applyBorder="1"/>
    <xf numFmtId="171" fontId="31" fillId="0" borderId="9" xfId="0" applyNumberFormat="1" applyFont="1" applyFill="1" applyBorder="1"/>
    <xf numFmtId="170" fontId="31" fillId="0" borderId="9" xfId="11" applyNumberFormat="1" applyFont="1" applyFill="1" applyBorder="1"/>
    <xf numFmtId="10" fontId="31" fillId="0" borderId="9" xfId="44" applyNumberFormat="1" applyFont="1" applyFill="1" applyBorder="1"/>
    <xf numFmtId="168" fontId="31" fillId="0" borderId="9" xfId="11" applyNumberFormat="1" applyFont="1" applyFill="1" applyBorder="1"/>
    <xf numFmtId="169" fontId="31" fillId="0" borderId="9" xfId="0" applyNumberFormat="1" applyFont="1" applyFill="1" applyBorder="1"/>
    <xf numFmtId="170" fontId="31" fillId="0" borderId="9" xfId="0" applyNumberFormat="1" applyFont="1" applyFill="1" applyBorder="1"/>
    <xf numFmtId="38" fontId="31" fillId="0" borderId="0" xfId="11" applyNumberFormat="1" applyFont="1" applyFill="1"/>
    <xf numFmtId="43" fontId="2" fillId="0" borderId="0" xfId="0" applyNumberFormat="1" applyFont="1" applyFill="1"/>
    <xf numFmtId="41" fontId="31" fillId="0" borderId="0" xfId="0" applyNumberFormat="1" applyFont="1" applyFill="1" applyBorder="1"/>
    <xf numFmtId="0" fontId="31" fillId="0" borderId="9" xfId="0" applyFont="1" applyFill="1" applyBorder="1" applyAlignment="1">
      <alignment horizontal="center"/>
    </xf>
    <xf numFmtId="165" fontId="31" fillId="0" borderId="0" xfId="0" applyNumberFormat="1" applyFont="1" applyFill="1" applyBorder="1" applyAlignment="1">
      <alignment horizontal="right"/>
    </xf>
    <xf numFmtId="38" fontId="31" fillId="2" borderId="0" xfId="0" applyNumberFormat="1" applyFont="1" applyFill="1" applyBorder="1" applyAlignment="1">
      <alignment horizontal="center"/>
    </xf>
    <xf numFmtId="0" fontId="31" fillId="2" borderId="0" xfId="0" applyFont="1" applyFill="1" applyBorder="1" applyAlignment="1">
      <alignment horizontal="center"/>
    </xf>
    <xf numFmtId="0" fontId="31" fillId="2" borderId="9" xfId="0" applyFont="1" applyFill="1" applyBorder="1" applyAlignment="1">
      <alignment horizontal="center"/>
    </xf>
    <xf numFmtId="38" fontId="31" fillId="0" borderId="9" xfId="0" applyNumberFormat="1" applyFont="1" applyFill="1" applyBorder="1" applyAlignment="1">
      <alignment horizontal="center"/>
    </xf>
    <xf numFmtId="0" fontId="31" fillId="2" borderId="0" xfId="0" applyFont="1" applyFill="1" applyBorder="1" applyAlignment="1">
      <alignment horizontal="right"/>
    </xf>
    <xf numFmtId="44" fontId="31" fillId="0" borderId="0" xfId="9" applyFont="1" applyFill="1" applyBorder="1" applyAlignment="1">
      <alignment horizontal="right"/>
    </xf>
    <xf numFmtId="170" fontId="2" fillId="0" borderId="0" xfId="0" applyNumberFormat="1" applyFont="1" applyFill="1" applyBorder="1"/>
    <xf numFmtId="43" fontId="31" fillId="0" borderId="0" xfId="0" applyNumberFormat="1" applyFont="1" applyFill="1" applyBorder="1" applyAlignment="1">
      <alignment horizontal="right"/>
    </xf>
    <xf numFmtId="43" fontId="31" fillId="0" borderId="9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center"/>
    </xf>
    <xf numFmtId="174" fontId="3" fillId="0" borderId="0" xfId="23" applyNumberFormat="1" applyFill="1"/>
    <xf numFmtId="166" fontId="3" fillId="0" borderId="0" xfId="23" applyFill="1" applyAlignment="1">
      <alignment horizontal="right"/>
    </xf>
    <xf numFmtId="44" fontId="0" fillId="0" borderId="0" xfId="0" applyNumberFormat="1" applyFill="1"/>
    <xf numFmtId="174" fontId="0" fillId="0" borderId="0" xfId="76" applyNumberFormat="1" applyFont="1" applyFill="1"/>
    <xf numFmtId="176" fontId="0" fillId="0" borderId="0" xfId="4" applyNumberFormat="1" applyFont="1" applyFill="1"/>
    <xf numFmtId="43" fontId="0" fillId="0" borderId="0" xfId="0" applyNumberFormat="1" applyFill="1"/>
    <xf numFmtId="10" fontId="0" fillId="0" borderId="0" xfId="0" applyNumberFormat="1" applyFill="1"/>
    <xf numFmtId="9" fontId="0" fillId="0" borderId="0" xfId="80" applyFont="1" applyFill="1"/>
    <xf numFmtId="174" fontId="0" fillId="0" borderId="0" xfId="0" applyNumberFormat="1" applyFill="1"/>
    <xf numFmtId="0" fontId="19" fillId="0" borderId="0" xfId="0" applyFont="1" applyFill="1"/>
    <xf numFmtId="0" fontId="23" fillId="0" borderId="0" xfId="82" applyFont="1"/>
    <xf numFmtId="9" fontId="22" fillId="0" borderId="0" xfId="80" applyFont="1"/>
    <xf numFmtId="0" fontId="5" fillId="0" borderId="0" xfId="1" applyFont="1" applyAlignment="1">
      <alignment horizontal="center"/>
    </xf>
    <xf numFmtId="0" fontId="7" fillId="0" borderId="0" xfId="0" applyFont="1" applyFill="1" applyBorder="1" applyAlignment="1">
      <alignment horizontal="left"/>
    </xf>
    <xf numFmtId="0" fontId="5" fillId="0" borderId="8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/>
    </xf>
    <xf numFmtId="6" fontId="25" fillId="0" borderId="0" xfId="79" applyNumberFormat="1" applyFont="1" applyFill="1"/>
  </cellXfs>
  <cellStyles count="83">
    <cellStyle name="ariel" xfId="10" xr:uid="{00000000-0005-0000-0000-000000000000}"/>
    <cellStyle name="Comma" xfId="79" builtinId="3"/>
    <cellStyle name="Comma 2" xfId="5" xr:uid="{00000000-0005-0000-0000-000001000000}"/>
    <cellStyle name="Comma 2 2" xfId="11" xr:uid="{00000000-0005-0000-0000-000002000000}"/>
    <cellStyle name="Comma 2 3" xfId="12" xr:uid="{00000000-0005-0000-0000-000003000000}"/>
    <cellStyle name="Comma 3" xfId="13" xr:uid="{00000000-0005-0000-0000-000004000000}"/>
    <cellStyle name="Comma 3 2" xfId="14" xr:uid="{00000000-0005-0000-0000-000005000000}"/>
    <cellStyle name="Comma 3 3" xfId="15" xr:uid="{00000000-0005-0000-0000-000006000000}"/>
    <cellStyle name="Comma 4" xfId="16" xr:uid="{00000000-0005-0000-0000-000007000000}"/>
    <cellStyle name="Comma 5" xfId="17" xr:uid="{00000000-0005-0000-0000-000008000000}"/>
    <cellStyle name="Comma 6" xfId="7" xr:uid="{00000000-0005-0000-0000-000009000000}"/>
    <cellStyle name="Comma 7" xfId="18" xr:uid="{00000000-0005-0000-0000-00000A000000}"/>
    <cellStyle name="Comma 8" xfId="78" xr:uid="{00000000-0005-0000-0000-00000B000000}"/>
    <cellStyle name="Currency 12" xfId="19" xr:uid="{00000000-0005-0000-0000-00000C000000}"/>
    <cellStyle name="Currency 2" xfId="20" xr:uid="{00000000-0005-0000-0000-00000D000000}"/>
    <cellStyle name="Currency 3" xfId="21" xr:uid="{00000000-0005-0000-0000-00000E000000}"/>
    <cellStyle name="Currency 4" xfId="22" xr:uid="{00000000-0005-0000-0000-00000F000000}"/>
    <cellStyle name="Currency 5" xfId="9" xr:uid="{00000000-0005-0000-0000-000010000000}"/>
    <cellStyle name="Currency 6" xfId="76" xr:uid="{00000000-0005-0000-0000-000011000000}"/>
    <cellStyle name="Normal" xfId="0" builtinId="0"/>
    <cellStyle name="Normal 10" xfId="23" xr:uid="{00000000-0005-0000-0000-000013000000}"/>
    <cellStyle name="Normal 10 2" xfId="24" xr:uid="{00000000-0005-0000-0000-000014000000}"/>
    <cellStyle name="Normal 11" xfId="1" xr:uid="{00000000-0005-0000-0000-000015000000}"/>
    <cellStyle name="Normal 12" xfId="25" xr:uid="{00000000-0005-0000-0000-000016000000}"/>
    <cellStyle name="Normal 12 2" xfId="26" xr:uid="{00000000-0005-0000-0000-000017000000}"/>
    <cellStyle name="Normal 13" xfId="27" xr:uid="{00000000-0005-0000-0000-000018000000}"/>
    <cellStyle name="Normal 14" xfId="81" xr:uid="{E258FFA3-DB0A-4B4F-9C6C-DD02F613A2E0}"/>
    <cellStyle name="Normal 15" xfId="82" xr:uid="{F17DB3B7-B1F4-403A-A973-3ECB4CC424DC}"/>
    <cellStyle name="Normal 2" xfId="3" xr:uid="{00000000-0005-0000-0000-000019000000}"/>
    <cellStyle name="Normal 2 2" xfId="28" xr:uid="{00000000-0005-0000-0000-00001A000000}"/>
    <cellStyle name="Normal 2 3" xfId="29" xr:uid="{00000000-0005-0000-0000-00001B000000}"/>
    <cellStyle name="Normal 2 3 2" xfId="30" xr:uid="{00000000-0005-0000-0000-00001C000000}"/>
    <cellStyle name="Normal 2_Book1" xfId="31" xr:uid="{00000000-0005-0000-0000-00001D000000}"/>
    <cellStyle name="Normal 3" xfId="32" xr:uid="{00000000-0005-0000-0000-00001E000000}"/>
    <cellStyle name="Normal 3 2" xfId="33" xr:uid="{00000000-0005-0000-0000-00001F000000}"/>
    <cellStyle name="Normal 4" xfId="34" xr:uid="{00000000-0005-0000-0000-000020000000}"/>
    <cellStyle name="Normal 5" xfId="35" xr:uid="{00000000-0005-0000-0000-000021000000}"/>
    <cellStyle name="Normal 6" xfId="36" xr:uid="{00000000-0005-0000-0000-000022000000}"/>
    <cellStyle name="Normal 6 2" xfId="37" xr:uid="{00000000-0005-0000-0000-000023000000}"/>
    <cellStyle name="Normal 7" xfId="38" xr:uid="{00000000-0005-0000-0000-000024000000}"/>
    <cellStyle name="Normal 7 2" xfId="2" xr:uid="{00000000-0005-0000-0000-000025000000}"/>
    <cellStyle name="Normal 8" xfId="39" xr:uid="{00000000-0005-0000-0000-000026000000}"/>
    <cellStyle name="Normal 8 2 2" xfId="40" xr:uid="{00000000-0005-0000-0000-000027000000}"/>
    <cellStyle name="Normal 9" xfId="41" xr:uid="{00000000-0005-0000-0000-000028000000}"/>
    <cellStyle name="Normal_Attachment 5A - Program Budget Workbook Dec22" xfId="42" xr:uid="{00000000-0005-0000-0000-000029000000}"/>
    <cellStyle name="Normal_Lighting Model GRC Phase 2 Workpapers" xfId="77" xr:uid="{00000000-0005-0000-0000-00002C000000}"/>
    <cellStyle name="Percent" xfId="80" builtinId="5"/>
    <cellStyle name="Percent 10" xfId="43" xr:uid="{00000000-0005-0000-0000-00002E000000}"/>
    <cellStyle name="Percent 2" xfId="4" xr:uid="{00000000-0005-0000-0000-00002F000000}"/>
    <cellStyle name="Percent 2 2" xfId="44" xr:uid="{00000000-0005-0000-0000-000030000000}"/>
    <cellStyle name="Percent 2 3" xfId="45" xr:uid="{00000000-0005-0000-0000-000031000000}"/>
    <cellStyle name="Percent 3" xfId="46" xr:uid="{00000000-0005-0000-0000-000032000000}"/>
    <cellStyle name="Percent 3 2" xfId="47" xr:uid="{00000000-0005-0000-0000-000033000000}"/>
    <cellStyle name="Percent 4" xfId="48" xr:uid="{00000000-0005-0000-0000-000034000000}"/>
    <cellStyle name="Percent 5" xfId="49" xr:uid="{00000000-0005-0000-0000-000035000000}"/>
    <cellStyle name="Percent 6" xfId="50" xr:uid="{00000000-0005-0000-0000-000036000000}"/>
    <cellStyle name="Percent 6 2" xfId="51" xr:uid="{00000000-0005-0000-0000-000037000000}"/>
    <cellStyle name="Percent 6 2 2" xfId="52" xr:uid="{00000000-0005-0000-0000-000038000000}"/>
    <cellStyle name="Percent 6 3" xfId="53" xr:uid="{00000000-0005-0000-0000-000039000000}"/>
    <cellStyle name="Percent 7" xfId="54" xr:uid="{00000000-0005-0000-0000-00003A000000}"/>
    <cellStyle name="Percent 7 2" xfId="55" xr:uid="{00000000-0005-0000-0000-00003B000000}"/>
    <cellStyle name="Percent 8" xfId="6" xr:uid="{00000000-0005-0000-0000-00003C000000}"/>
    <cellStyle name="Percent 9" xfId="8" xr:uid="{00000000-0005-0000-0000-00003D000000}"/>
    <cellStyle name="Style 168" xfId="56" xr:uid="{00000000-0005-0000-0000-00003E000000}"/>
    <cellStyle name="Style 21" xfId="57" xr:uid="{00000000-0005-0000-0000-00003F000000}"/>
    <cellStyle name="Style 22" xfId="58" xr:uid="{00000000-0005-0000-0000-000040000000}"/>
    <cellStyle name="Style 23" xfId="59" xr:uid="{00000000-0005-0000-0000-000041000000}"/>
    <cellStyle name="Style 24" xfId="60" xr:uid="{00000000-0005-0000-0000-000042000000}"/>
    <cellStyle name="Style 25" xfId="61" xr:uid="{00000000-0005-0000-0000-000043000000}"/>
    <cellStyle name="Style 26" xfId="62" xr:uid="{00000000-0005-0000-0000-000044000000}"/>
    <cellStyle name="Style 27" xfId="63" xr:uid="{00000000-0005-0000-0000-000045000000}"/>
    <cellStyle name="Style 28" xfId="64" xr:uid="{00000000-0005-0000-0000-000046000000}"/>
    <cellStyle name="Style 29" xfId="65" xr:uid="{00000000-0005-0000-0000-000047000000}"/>
    <cellStyle name="Style 30" xfId="66" xr:uid="{00000000-0005-0000-0000-000048000000}"/>
    <cellStyle name="Style 31" xfId="67" xr:uid="{00000000-0005-0000-0000-000049000000}"/>
    <cellStyle name="Style 32" xfId="68" xr:uid="{00000000-0005-0000-0000-00004A000000}"/>
    <cellStyle name="Style 33" xfId="69" xr:uid="{00000000-0005-0000-0000-00004B000000}"/>
    <cellStyle name="Style 34" xfId="70" xr:uid="{00000000-0005-0000-0000-00004C000000}"/>
    <cellStyle name="Style 35" xfId="71" xr:uid="{00000000-0005-0000-0000-00004D000000}"/>
    <cellStyle name="Style 36" xfId="72" xr:uid="{00000000-0005-0000-0000-00004E000000}"/>
    <cellStyle name="Style 37" xfId="73" xr:uid="{00000000-0005-0000-0000-00004F000000}"/>
    <cellStyle name="Style 38" xfId="74" xr:uid="{00000000-0005-0000-0000-000050000000}"/>
    <cellStyle name="Style 82" xfId="75" xr:uid="{00000000-0005-0000-0000-00005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2000_07_Cabrillo%201\Final%20Adjusted\ENCI072000AF-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GOS\RMR\2001_04_Duke\Initial%20Estimated\SOUT042001EP-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vel1"/>
      <sheetName val="Level 1 Explaination"/>
      <sheetName val="Level2"/>
      <sheetName val="NonRMR Heat Input"/>
      <sheetName val="HR Coeff"/>
      <sheetName val="Hrly Emissions"/>
      <sheetName val="Emissions Input"/>
      <sheetName val="Daily Fuel Price"/>
      <sheetName val="Interest Rate Calculation"/>
      <sheetName val="ConstantsTable"/>
      <sheetName val="Data Dictionary"/>
    </sheetNames>
    <sheetDataSet>
      <sheetData sheetId="0" refreshError="1"/>
      <sheetData sheetId="1" refreshError="1"/>
      <sheetData sheetId="2" refreshError="1">
        <row r="2">
          <cell r="K2" t="str">
            <v>A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vel1"/>
      <sheetName val="Level 1 Explaination"/>
      <sheetName val="Level2"/>
      <sheetName val="NonRMR Heat Input"/>
      <sheetName val="HR Coeff"/>
      <sheetName val="Hrly Emissions"/>
      <sheetName val="Emissions Input"/>
      <sheetName val="Daily Fuel Price"/>
      <sheetName val="Interest Rate Calculation"/>
      <sheetName val="ConstantsTable"/>
      <sheetName val="Data Dictionary"/>
    </sheetNames>
    <sheetDataSet>
      <sheetData sheetId="0" refreshError="1"/>
      <sheetData sheetId="1" refreshError="1"/>
      <sheetData sheetId="2" refreshError="1">
        <row r="2">
          <cell r="K2" t="str">
            <v>E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31"/>
  <sheetViews>
    <sheetView tabSelected="1" zoomScale="85" zoomScaleNormal="85" workbookViewId="0">
      <selection activeCell="F35" sqref="F35"/>
    </sheetView>
  </sheetViews>
  <sheetFormatPr defaultColWidth="9.08984375" defaultRowHeight="10" x14ac:dyDescent="0.2"/>
  <cols>
    <col min="1" max="1" width="9.36328125" style="3" customWidth="1"/>
    <col min="2" max="2" width="39.36328125" style="3" customWidth="1"/>
    <col min="3" max="3" width="76.54296875" style="3" customWidth="1"/>
    <col min="4" max="16384" width="9.08984375" style="3"/>
  </cols>
  <sheetData>
    <row r="1" spans="1:7" ht="13" x14ac:dyDescent="0.3">
      <c r="A1" s="182" t="s">
        <v>302</v>
      </c>
      <c r="B1" s="182"/>
      <c r="C1" s="182"/>
      <c r="D1" s="16"/>
      <c r="E1" s="16"/>
      <c r="F1" s="16"/>
      <c r="G1" s="16"/>
    </row>
    <row r="2" spans="1:7" ht="13" x14ac:dyDescent="0.3">
      <c r="A2" s="182" t="s">
        <v>303</v>
      </c>
      <c r="B2" s="182"/>
      <c r="C2" s="182"/>
      <c r="D2" s="16"/>
      <c r="E2" s="16"/>
      <c r="F2" s="16"/>
      <c r="G2" s="16"/>
    </row>
    <row r="3" spans="1:7" ht="13" x14ac:dyDescent="0.3">
      <c r="A3" s="182" t="s">
        <v>304</v>
      </c>
      <c r="B3" s="182"/>
      <c r="C3" s="182"/>
      <c r="D3" s="16"/>
      <c r="E3" s="16"/>
      <c r="F3" s="16"/>
      <c r="G3" s="16"/>
    </row>
    <row r="4" spans="1:7" ht="13" x14ac:dyDescent="0.3">
      <c r="A4" s="10"/>
      <c r="B4" s="11"/>
      <c r="C4" s="10"/>
    </row>
    <row r="5" spans="1:7" ht="13" x14ac:dyDescent="0.3">
      <c r="A5" s="12">
        <v>1</v>
      </c>
      <c r="B5" s="13" t="s">
        <v>166</v>
      </c>
      <c r="C5" s="14" t="s">
        <v>167</v>
      </c>
    </row>
    <row r="6" spans="1:7" ht="13" x14ac:dyDescent="0.3">
      <c r="A6" s="12"/>
      <c r="B6" s="13"/>
      <c r="C6" s="14"/>
    </row>
    <row r="7" spans="1:7" ht="13" x14ac:dyDescent="0.3">
      <c r="A7" s="12">
        <f>A5+1</f>
        <v>2</v>
      </c>
      <c r="B7" s="15" t="s">
        <v>168</v>
      </c>
      <c r="C7" s="14" t="s">
        <v>169</v>
      </c>
    </row>
    <row r="8" spans="1:7" ht="13" x14ac:dyDescent="0.3">
      <c r="A8" s="12"/>
      <c r="B8" s="15"/>
      <c r="C8" s="14"/>
    </row>
    <row r="9" spans="1:7" ht="13" x14ac:dyDescent="0.3">
      <c r="A9" s="12">
        <f>A7+1</f>
        <v>3</v>
      </c>
      <c r="B9" s="15" t="s">
        <v>171</v>
      </c>
      <c r="C9" s="14" t="s">
        <v>170</v>
      </c>
    </row>
    <row r="10" spans="1:7" ht="13" x14ac:dyDescent="0.3">
      <c r="A10" s="12"/>
      <c r="B10" s="15"/>
      <c r="C10" s="14"/>
    </row>
    <row r="11" spans="1:7" ht="13" x14ac:dyDescent="0.3">
      <c r="A11" s="12">
        <f>A9+1</f>
        <v>4</v>
      </c>
      <c r="B11" s="15" t="s">
        <v>172</v>
      </c>
      <c r="C11" s="14" t="s">
        <v>307</v>
      </c>
    </row>
    <row r="12" spans="1:7" ht="13" x14ac:dyDescent="0.3">
      <c r="A12" s="12"/>
      <c r="B12" s="15"/>
      <c r="C12" s="14"/>
    </row>
    <row r="13" spans="1:7" ht="13" x14ac:dyDescent="0.3">
      <c r="A13" s="12">
        <f>A11+1</f>
        <v>5</v>
      </c>
      <c r="B13" s="15" t="s">
        <v>173</v>
      </c>
      <c r="C13" s="14" t="s">
        <v>285</v>
      </c>
    </row>
    <row r="14" spans="1:7" ht="13" x14ac:dyDescent="0.3">
      <c r="A14" s="12"/>
      <c r="B14" s="15"/>
      <c r="C14" s="14"/>
    </row>
    <row r="15" spans="1:7" ht="13" x14ac:dyDescent="0.3">
      <c r="A15" s="12">
        <f>A13+1</f>
        <v>6</v>
      </c>
      <c r="B15" s="15" t="s">
        <v>223</v>
      </c>
      <c r="C15" s="14" t="s">
        <v>225</v>
      </c>
    </row>
    <row r="16" spans="1:7" ht="13" x14ac:dyDescent="0.3">
      <c r="A16" s="12"/>
      <c r="B16" s="15"/>
      <c r="C16" s="14"/>
    </row>
    <row r="17" spans="1:3" ht="13" x14ac:dyDescent="0.3">
      <c r="A17" s="12">
        <f>A15+1</f>
        <v>7</v>
      </c>
      <c r="B17" s="15" t="s">
        <v>201</v>
      </c>
      <c r="C17" s="14" t="s">
        <v>286</v>
      </c>
    </row>
    <row r="18" spans="1:3" ht="13" x14ac:dyDescent="0.3">
      <c r="A18" s="12"/>
      <c r="B18" s="15"/>
      <c r="C18" s="14"/>
    </row>
    <row r="19" spans="1:3" ht="13" x14ac:dyDescent="0.3">
      <c r="A19" s="12">
        <f>A17+1</f>
        <v>8</v>
      </c>
      <c r="B19" s="15" t="s">
        <v>224</v>
      </c>
      <c r="C19" s="14" t="s">
        <v>287</v>
      </c>
    </row>
    <row r="20" spans="1:3" ht="13" x14ac:dyDescent="0.3">
      <c r="A20" s="12"/>
      <c r="B20" s="15"/>
      <c r="C20" s="14"/>
    </row>
    <row r="21" spans="1:3" ht="13" x14ac:dyDescent="0.3">
      <c r="A21" s="12"/>
      <c r="B21" s="15"/>
      <c r="C21" s="13"/>
    </row>
    <row r="22" spans="1:3" ht="13" x14ac:dyDescent="0.3">
      <c r="A22" s="12"/>
      <c r="B22" s="15"/>
      <c r="C22" s="14"/>
    </row>
    <row r="23" spans="1:3" ht="13" x14ac:dyDescent="0.3">
      <c r="A23" s="12"/>
      <c r="B23" s="15"/>
      <c r="C23" s="14"/>
    </row>
    <row r="24" spans="1:3" ht="13" x14ac:dyDescent="0.3">
      <c r="A24" s="12"/>
      <c r="B24" s="15"/>
      <c r="C24" s="14"/>
    </row>
    <row r="25" spans="1:3" ht="13" x14ac:dyDescent="0.3">
      <c r="A25" s="12"/>
      <c r="B25" s="15"/>
      <c r="C25" s="14"/>
    </row>
    <row r="26" spans="1:3" ht="13" x14ac:dyDescent="0.3">
      <c r="A26" s="12"/>
      <c r="B26" s="15"/>
      <c r="C26" s="14"/>
    </row>
    <row r="27" spans="1:3" ht="13" x14ac:dyDescent="0.3">
      <c r="A27" s="12"/>
      <c r="B27" s="15"/>
      <c r="C27" s="13"/>
    </row>
    <row r="28" spans="1:3" ht="13" x14ac:dyDescent="0.3">
      <c r="A28" s="12"/>
      <c r="B28" s="15"/>
      <c r="C28" s="14"/>
    </row>
    <row r="29" spans="1:3" ht="13" x14ac:dyDescent="0.3">
      <c r="A29" s="12"/>
      <c r="B29" s="15"/>
      <c r="C29" s="14"/>
    </row>
    <row r="30" spans="1:3" ht="13" x14ac:dyDescent="0.3">
      <c r="A30" s="12"/>
      <c r="B30" s="15"/>
      <c r="C30" s="14"/>
    </row>
    <row r="31" spans="1:3" ht="13" x14ac:dyDescent="0.3">
      <c r="A31" s="12"/>
      <c r="B31" s="15"/>
      <c r="C31" s="13"/>
    </row>
  </sheetData>
  <mergeCells count="3">
    <mergeCell ref="A1:C1"/>
    <mergeCell ref="A2:C2"/>
    <mergeCell ref="A3:C3"/>
  </mergeCells>
  <pageMargins left="0.7" right="0.7" top="0.75" bottom="0.75" header="0.3" footer="0.3"/>
  <pageSetup orientation="portrait" r:id="rId1"/>
  <headerFooter>
    <oddFooter>&amp;L&amp;F
&amp;A&amp;R&amp;P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08F608-5E04-4D58-B925-4424F127C0F9}">
  <sheetPr>
    <pageSetUpPr fitToPage="1"/>
  </sheetPr>
  <dimension ref="A1:Q324"/>
  <sheetViews>
    <sheetView topLeftCell="A287" zoomScale="80" zoomScaleNormal="80" zoomScaleSheetLayoutView="80" workbookViewId="0">
      <selection activeCell="F309" sqref="F309"/>
    </sheetView>
  </sheetViews>
  <sheetFormatPr defaultColWidth="9.08984375" defaultRowHeight="14.5" x14ac:dyDescent="0.35"/>
  <cols>
    <col min="1" max="1" width="35" style="94" customWidth="1"/>
    <col min="2" max="2" width="5.54296875" style="94" customWidth="1"/>
    <col min="3" max="3" width="28" style="94" bestFit="1" customWidth="1"/>
    <col min="4" max="4" width="10" style="94" bestFit="1" customWidth="1"/>
    <col min="5" max="5" width="22" style="94" bestFit="1" customWidth="1"/>
    <col min="6" max="6" width="19.90625" style="94" bestFit="1" customWidth="1"/>
    <col min="7" max="7" width="17" style="94" customWidth="1"/>
    <col min="8" max="8" width="16.6328125" style="94" bestFit="1" customWidth="1"/>
    <col min="9" max="9" width="16.36328125" style="94" bestFit="1" customWidth="1"/>
    <col min="10" max="10" width="16.90625" style="94" bestFit="1" customWidth="1"/>
    <col min="11" max="11" width="14.54296875" style="94" customWidth="1"/>
    <col min="12" max="12" width="27.08984375" style="94" bestFit="1" customWidth="1"/>
    <col min="13" max="13" width="10.6328125" style="94" bestFit="1" customWidth="1"/>
    <col min="14" max="14" width="10.54296875" style="94" bestFit="1" customWidth="1"/>
    <col min="15" max="15" width="10.36328125" style="94" bestFit="1" customWidth="1"/>
    <col min="16" max="16" width="17.90625" style="94" bestFit="1" customWidth="1"/>
    <col min="17" max="16384" width="9.08984375" style="94"/>
  </cols>
  <sheetData>
    <row r="1" spans="1:16" s="92" customFormat="1" ht="13" x14ac:dyDescent="0.3">
      <c r="A1" s="182" t="s">
        <v>302</v>
      </c>
      <c r="B1" s="182"/>
      <c r="C1" s="182"/>
      <c r="D1" s="182"/>
      <c r="E1" s="182"/>
      <c r="F1" s="182"/>
      <c r="G1" s="182"/>
      <c r="L1" s="93"/>
      <c r="M1" s="93"/>
      <c r="N1" s="93"/>
      <c r="O1" s="93"/>
      <c r="P1" s="93"/>
    </row>
    <row r="2" spans="1:16" s="92" customFormat="1" x14ac:dyDescent="0.35">
      <c r="A2" s="182" t="str">
        <f>Description!A2</f>
        <v>TEST YEAR 2019 GENERAL RATE CASE PHASE 2, APPLICATION 19-03-002</v>
      </c>
      <c r="B2" s="182"/>
      <c r="C2" s="182"/>
      <c r="D2" s="182"/>
      <c r="E2" s="182"/>
      <c r="F2" s="182"/>
      <c r="G2" s="182"/>
      <c r="H2" s="94"/>
      <c r="I2" s="94"/>
      <c r="J2" s="94"/>
      <c r="K2" s="94"/>
      <c r="L2" s="94"/>
      <c r="M2" s="93"/>
      <c r="N2" s="93"/>
      <c r="O2" s="93"/>
      <c r="P2" s="93"/>
    </row>
    <row r="3" spans="1:16" s="92" customFormat="1" x14ac:dyDescent="0.35">
      <c r="A3" s="182" t="s">
        <v>304</v>
      </c>
      <c r="B3" s="182"/>
      <c r="C3" s="182"/>
      <c r="D3" s="182"/>
      <c r="E3" s="182"/>
      <c r="F3" s="182"/>
      <c r="G3" s="182"/>
      <c r="H3" s="94"/>
      <c r="I3" s="94"/>
      <c r="J3" s="94"/>
      <c r="K3" s="94"/>
      <c r="L3" s="94"/>
      <c r="M3" s="93"/>
      <c r="N3" s="93"/>
      <c r="O3" s="93"/>
      <c r="P3" s="93"/>
    </row>
    <row r="5" spans="1:16" ht="15.5" x14ac:dyDescent="0.35">
      <c r="A5" s="183" t="s">
        <v>54</v>
      </c>
      <c r="B5" s="183"/>
      <c r="C5" s="183"/>
      <c r="D5" s="183"/>
      <c r="E5" s="183"/>
      <c r="F5" s="183"/>
      <c r="G5" s="183"/>
    </row>
    <row r="6" spans="1:16" ht="15.5" x14ac:dyDescent="0.35">
      <c r="A6" s="91"/>
      <c r="B6" s="91"/>
      <c r="C6" s="91"/>
      <c r="D6" s="91"/>
      <c r="E6" s="91"/>
      <c r="F6" s="91"/>
      <c r="G6" s="91"/>
    </row>
    <row r="7" spans="1:16" ht="15.5" x14ac:dyDescent="0.35">
      <c r="A7" s="53" t="s">
        <v>53</v>
      </c>
      <c r="B7" s="91"/>
      <c r="C7" s="95"/>
      <c r="D7" s="91"/>
      <c r="E7" s="95"/>
      <c r="F7" s="95"/>
      <c r="G7" s="95"/>
    </row>
    <row r="8" spans="1:16" ht="15.5" x14ac:dyDescent="0.35">
      <c r="A8" s="95"/>
      <c r="B8" s="91"/>
      <c r="C8" s="95"/>
      <c r="D8" s="91"/>
      <c r="E8" s="95"/>
      <c r="F8" s="95"/>
      <c r="G8" s="95"/>
    </row>
    <row r="9" spans="1:16" ht="15.5" x14ac:dyDescent="0.35">
      <c r="A9" s="55" t="s">
        <v>278</v>
      </c>
      <c r="B9" s="91"/>
      <c r="C9" s="96">
        <v>114475107</v>
      </c>
      <c r="D9" s="91"/>
      <c r="E9" s="55"/>
      <c r="F9" s="95"/>
      <c r="G9" s="56"/>
    </row>
    <row r="10" spans="1:16" ht="15.5" hidden="1" x14ac:dyDescent="0.35">
      <c r="A10" s="55"/>
      <c r="B10" s="91"/>
      <c r="C10" s="96"/>
      <c r="D10" s="91"/>
      <c r="E10" s="55"/>
      <c r="F10" s="95"/>
      <c r="G10" s="97"/>
    </row>
    <row r="11" spans="1:16" ht="15.5" x14ac:dyDescent="0.35">
      <c r="A11" s="57" t="s">
        <v>37</v>
      </c>
      <c r="B11" s="91"/>
      <c r="C11" s="98">
        <v>38000000</v>
      </c>
      <c r="D11" s="91"/>
      <c r="E11" s="55"/>
      <c r="F11" s="95"/>
      <c r="G11" s="58"/>
    </row>
    <row r="12" spans="1:16" ht="15.5" x14ac:dyDescent="0.35">
      <c r="A12" s="99" t="s">
        <v>51</v>
      </c>
      <c r="B12" s="91"/>
      <c r="C12" s="100">
        <f>SUM(C9:C11)</f>
        <v>152475107</v>
      </c>
      <c r="D12" s="91"/>
      <c r="E12" s="95"/>
      <c r="F12" s="95"/>
      <c r="G12" s="95"/>
    </row>
    <row r="13" spans="1:16" ht="15.5" x14ac:dyDescent="0.35">
      <c r="A13" s="99"/>
      <c r="B13" s="91"/>
      <c r="C13" s="95"/>
      <c r="D13" s="91"/>
      <c r="E13" s="95"/>
      <c r="F13" s="95"/>
      <c r="G13" s="95"/>
      <c r="H13" s="54"/>
      <c r="I13" s="54"/>
      <c r="J13" s="54"/>
    </row>
    <row r="14" spans="1:16" ht="15.5" x14ac:dyDescent="0.35">
      <c r="A14" s="55"/>
      <c r="B14" s="91"/>
      <c r="C14" s="101"/>
      <c r="D14" s="91"/>
      <c r="E14" s="95"/>
      <c r="F14" s="95"/>
      <c r="G14" s="95"/>
      <c r="H14" s="54"/>
      <c r="I14" s="54"/>
      <c r="J14" s="54"/>
    </row>
    <row r="15" spans="1:16" ht="15.5" x14ac:dyDescent="0.35">
      <c r="A15" s="53"/>
      <c r="B15" s="91"/>
      <c r="C15" s="95"/>
      <c r="D15" s="91"/>
      <c r="E15" s="95"/>
      <c r="F15" s="95"/>
      <c r="G15" s="95"/>
      <c r="H15" s="54"/>
      <c r="I15" s="54"/>
      <c r="J15" s="54"/>
    </row>
    <row r="16" spans="1:16" ht="15.5" x14ac:dyDescent="0.35">
      <c r="A16" s="53" t="s">
        <v>50</v>
      </c>
      <c r="B16" s="91"/>
      <c r="C16" s="95"/>
      <c r="D16" s="91"/>
      <c r="E16" s="95"/>
      <c r="F16" s="95"/>
      <c r="G16" s="95"/>
      <c r="H16" s="54"/>
      <c r="I16" s="54"/>
      <c r="J16" s="54"/>
    </row>
    <row r="17" spans="1:14" ht="39.5" x14ac:dyDescent="0.35">
      <c r="A17" s="99"/>
      <c r="B17" s="91"/>
      <c r="C17" s="59" t="s">
        <v>288</v>
      </c>
      <c r="D17" s="91"/>
      <c r="E17" s="59" t="s">
        <v>49</v>
      </c>
      <c r="F17" s="59" t="s">
        <v>48</v>
      </c>
      <c r="G17" s="59" t="s">
        <v>289</v>
      </c>
      <c r="H17" s="54"/>
      <c r="I17" s="54"/>
      <c r="J17" s="54"/>
    </row>
    <row r="18" spans="1:14" ht="12" customHeight="1" x14ac:dyDescent="0.35">
      <c r="A18" s="99"/>
      <c r="B18" s="91"/>
      <c r="C18" s="95"/>
      <c r="D18" s="91"/>
      <c r="E18" s="95"/>
      <c r="F18" s="95"/>
      <c r="G18" s="95"/>
      <c r="H18" s="54"/>
      <c r="I18" s="54"/>
      <c r="J18" s="54"/>
    </row>
    <row r="19" spans="1:14" ht="12" customHeight="1" x14ac:dyDescent="0.35">
      <c r="A19" s="99" t="s">
        <v>10</v>
      </c>
      <c r="B19" s="91"/>
      <c r="C19" s="102">
        <v>6652988141.1181479</v>
      </c>
      <c r="D19" s="91"/>
      <c r="E19" s="102">
        <v>1016702651.3608736</v>
      </c>
      <c r="F19" s="103">
        <f>C19-E19</f>
        <v>5636285489.7572746</v>
      </c>
      <c r="G19" s="104">
        <f>F19/$F$29</f>
        <v>0.31695711820870948</v>
      </c>
      <c r="H19" s="17"/>
      <c r="I19" s="54"/>
      <c r="K19" s="92"/>
      <c r="L19" s="2" t="s">
        <v>47</v>
      </c>
      <c r="M19" s="2" t="s">
        <v>46</v>
      </c>
      <c r="N19" s="93"/>
    </row>
    <row r="20" spans="1:14" ht="12" customHeight="1" x14ac:dyDescent="0.35">
      <c r="A20" s="99"/>
      <c r="B20" s="91"/>
      <c r="C20" s="102"/>
      <c r="D20" s="91"/>
      <c r="E20" s="105"/>
      <c r="F20" s="103"/>
      <c r="G20" s="104"/>
      <c r="H20" s="18"/>
      <c r="I20" s="19"/>
      <c r="K20" s="92" t="s">
        <v>45</v>
      </c>
      <c r="L20" s="106">
        <f>C35+C72+F89+F106+F125+C169+C213+C254+C295</f>
        <v>86542690.827772141</v>
      </c>
      <c r="M20" s="1">
        <f>L20/$L$25</f>
        <v>0.28488281182144398</v>
      </c>
      <c r="N20" s="93"/>
    </row>
    <row r="21" spans="1:14" ht="12" customHeight="1" x14ac:dyDescent="0.35">
      <c r="A21" s="99" t="s">
        <v>2</v>
      </c>
      <c r="B21" s="91"/>
      <c r="C21" s="102">
        <v>2200347912.2960796</v>
      </c>
      <c r="D21" s="91"/>
      <c r="E21" s="102">
        <v>2271745.422114118</v>
      </c>
      <c r="F21" s="103">
        <f>C21-E21</f>
        <v>2198076166.8739657</v>
      </c>
      <c r="G21" s="104">
        <f>F21/$F$29</f>
        <v>0.12360904867606727</v>
      </c>
      <c r="H21" s="17"/>
      <c r="I21" s="18"/>
      <c r="K21" s="92" t="s">
        <v>2</v>
      </c>
      <c r="L21" s="106">
        <f>C37+C74+F91+F108+F127+C171+C215+C256+C297</f>
        <v>38149647.776678286</v>
      </c>
      <c r="M21" s="1">
        <f>L21/$L$25</f>
        <v>0.12558170799480314</v>
      </c>
      <c r="N21" s="93"/>
    </row>
    <row r="22" spans="1:14" ht="12" customHeight="1" x14ac:dyDescent="0.35">
      <c r="A22" s="99"/>
      <c r="B22" s="91"/>
      <c r="C22" s="102"/>
      <c r="D22" s="91"/>
      <c r="E22" s="102"/>
      <c r="F22" s="103"/>
      <c r="G22" s="104"/>
      <c r="H22" s="17"/>
      <c r="I22" s="18"/>
      <c r="K22" s="92" t="s">
        <v>44</v>
      </c>
      <c r="L22" s="106">
        <f>C39+C76+F93+F110+F129+C173+C217+C258+C299</f>
        <v>173021221.41458255</v>
      </c>
      <c r="M22" s="1">
        <f>L22/$L$25</f>
        <v>0.56955441978872656</v>
      </c>
      <c r="N22" s="93"/>
    </row>
    <row r="23" spans="1:14" ht="12" customHeight="1" x14ac:dyDescent="0.35">
      <c r="A23" s="99" t="s">
        <v>9</v>
      </c>
      <c r="B23" s="91"/>
      <c r="C23" s="102">
        <v>9632944256.333025</v>
      </c>
      <c r="D23" s="91"/>
      <c r="E23" s="102">
        <v>14658222.763086554</v>
      </c>
      <c r="F23" s="103">
        <f>C23-E23</f>
        <v>9618286033.5699387</v>
      </c>
      <c r="G23" s="104">
        <f>F23/$F$29</f>
        <v>0.54088534529479504</v>
      </c>
      <c r="H23" s="17"/>
      <c r="I23" s="18"/>
      <c r="K23" s="92" t="s">
        <v>1</v>
      </c>
      <c r="L23" s="106">
        <f>C41+C78+F95+F112+F131+C175+C219+C260+C301</f>
        <v>5979728.9769459153</v>
      </c>
      <c r="M23" s="1">
        <f>L23/$L$25</f>
        <v>1.9684181166410498E-2</v>
      </c>
      <c r="N23" s="93"/>
    </row>
    <row r="24" spans="1:14" ht="12" customHeight="1" x14ac:dyDescent="0.35">
      <c r="A24" s="99"/>
      <c r="B24" s="91"/>
      <c r="C24" s="102"/>
      <c r="D24" s="91"/>
      <c r="E24" s="103"/>
      <c r="F24" s="103"/>
      <c r="G24" s="104"/>
      <c r="H24" s="20"/>
      <c r="I24" s="19"/>
      <c r="K24" s="92" t="s">
        <v>43</v>
      </c>
      <c r="L24" s="107">
        <f>F97+F114+F133+C221+C262</f>
        <v>90187.004021130779</v>
      </c>
      <c r="M24" s="1">
        <f>L24/$L$25</f>
        <v>2.968792286158803E-4</v>
      </c>
      <c r="N24" s="93"/>
    </row>
    <row r="25" spans="1:14" ht="12" customHeight="1" x14ac:dyDescent="0.35">
      <c r="A25" s="99" t="s">
        <v>8</v>
      </c>
      <c r="B25" s="91"/>
      <c r="C25" s="102">
        <v>329838223.38509023</v>
      </c>
      <c r="D25" s="91"/>
      <c r="E25" s="108"/>
      <c r="F25" s="103">
        <f>C25-E25</f>
        <v>329838223.38509023</v>
      </c>
      <c r="G25" s="104">
        <f>F25/$F$29</f>
        <v>1.8548487820428158E-2</v>
      </c>
      <c r="H25" s="17"/>
      <c r="I25" s="18"/>
      <c r="K25" s="92" t="s">
        <v>7</v>
      </c>
      <c r="L25" s="106">
        <f>C43+C80+F99+F116+F135+C177+C223+C264+C303</f>
        <v>303783476</v>
      </c>
      <c r="M25" s="92"/>
      <c r="N25" s="93"/>
    </row>
    <row r="26" spans="1:14" ht="12" customHeight="1" x14ac:dyDescent="0.35">
      <c r="A26" s="95"/>
      <c r="B26" s="91"/>
      <c r="C26" s="102"/>
      <c r="D26" s="91"/>
      <c r="E26" s="108"/>
      <c r="F26" s="103"/>
      <c r="G26" s="109"/>
      <c r="H26" s="20"/>
      <c r="I26" s="18"/>
    </row>
    <row r="27" spans="1:14" ht="12" customHeight="1" x14ac:dyDescent="0.35">
      <c r="A27" s="95" t="s">
        <v>0</v>
      </c>
      <c r="B27" s="91"/>
      <c r="C27" s="82">
        <v>85800427</v>
      </c>
      <c r="D27" s="91"/>
      <c r="E27" s="82"/>
      <c r="F27" s="82">
        <v>0</v>
      </c>
      <c r="G27" s="110"/>
      <c r="H27" s="18"/>
      <c r="I27" s="18"/>
      <c r="K27" s="111"/>
      <c r="L27" s="191"/>
    </row>
    <row r="28" spans="1:14" ht="12" customHeight="1" x14ac:dyDescent="0.35">
      <c r="A28" s="95"/>
      <c r="B28" s="91"/>
      <c r="C28" s="95"/>
      <c r="D28" s="91"/>
      <c r="E28" s="95"/>
      <c r="F28" s="95"/>
      <c r="G28" s="109"/>
      <c r="H28" s="54"/>
      <c r="I28" s="54"/>
    </row>
    <row r="29" spans="1:14" ht="12" customHeight="1" x14ac:dyDescent="0.35">
      <c r="A29" s="95" t="s">
        <v>34</v>
      </c>
      <c r="B29" s="91"/>
      <c r="C29" s="103">
        <f>SUM(C19:C27)</f>
        <v>18901918960.132343</v>
      </c>
      <c r="D29" s="113" t="s">
        <v>33</v>
      </c>
      <c r="E29" s="103">
        <f>SUM(E19:E27)</f>
        <v>1033632619.5460743</v>
      </c>
      <c r="F29" s="103">
        <f>SUM(F19:F27)</f>
        <v>17782485913.586269</v>
      </c>
      <c r="G29" s="109">
        <f>SUM(G19:G25)</f>
        <v>0.99999999999999989</v>
      </c>
      <c r="H29" s="54"/>
      <c r="I29" s="54"/>
    </row>
    <row r="30" spans="1:14" ht="12" customHeight="1" x14ac:dyDescent="0.35">
      <c r="A30" s="95"/>
      <c r="B30" s="91"/>
      <c r="C30" s="95"/>
      <c r="D30" s="91"/>
      <c r="E30" s="95"/>
      <c r="H30" s="54"/>
      <c r="I30" s="54"/>
    </row>
    <row r="31" spans="1:14" ht="12" customHeight="1" x14ac:dyDescent="0.35">
      <c r="A31" s="95"/>
      <c r="B31" s="91"/>
      <c r="C31" s="95"/>
      <c r="D31" s="91"/>
      <c r="E31" s="95"/>
      <c r="F31" s="114"/>
      <c r="G31" s="115">
        <v>0</v>
      </c>
      <c r="H31" s="54"/>
      <c r="I31" s="54"/>
    </row>
    <row r="32" spans="1:14" ht="12" customHeight="1" x14ac:dyDescent="0.35">
      <c r="A32" s="53" t="s">
        <v>42</v>
      </c>
      <c r="B32" s="91"/>
      <c r="C32" s="95"/>
      <c r="D32" s="91"/>
      <c r="E32" s="95"/>
      <c r="F32" s="95"/>
      <c r="G32" s="95"/>
      <c r="H32" s="54"/>
      <c r="I32" s="54"/>
    </row>
    <row r="33" spans="1:10" ht="39.5" x14ac:dyDescent="0.35">
      <c r="A33" s="95"/>
      <c r="B33" s="95"/>
      <c r="C33" s="59" t="s">
        <v>41</v>
      </c>
      <c r="D33" s="60"/>
      <c r="E33" s="59" t="s">
        <v>40</v>
      </c>
      <c r="F33" s="95"/>
      <c r="G33" s="95"/>
    </row>
    <row r="34" spans="1:10" ht="12" customHeight="1" x14ac:dyDescent="0.35">
      <c r="A34" s="95"/>
      <c r="B34" s="95"/>
      <c r="C34" s="113"/>
      <c r="D34" s="113"/>
      <c r="E34" s="113"/>
      <c r="F34" s="95"/>
      <c r="G34" s="116"/>
    </row>
    <row r="35" spans="1:10" ht="12" customHeight="1" x14ac:dyDescent="0.35">
      <c r="A35" s="95" t="s">
        <v>10</v>
      </c>
      <c r="B35" s="95"/>
      <c r="C35" s="117">
        <f>$C$12*G19</f>
        <v>48328070.513284624</v>
      </c>
      <c r="D35" s="113"/>
      <c r="E35" s="118">
        <f>C35/F19</f>
        <v>8.5744539734742675E-3</v>
      </c>
      <c r="F35" s="95"/>
      <c r="G35" s="119"/>
    </row>
    <row r="36" spans="1:10" ht="12" customHeight="1" x14ac:dyDescent="0.35">
      <c r="A36" s="95"/>
      <c r="B36" s="95"/>
      <c r="C36" s="117"/>
      <c r="D36" s="113"/>
      <c r="E36" s="118"/>
      <c r="F36" s="95"/>
      <c r="G36" s="95"/>
    </row>
    <row r="37" spans="1:10" ht="12" customHeight="1" x14ac:dyDescent="0.35">
      <c r="A37" s="95" t="s">
        <v>2</v>
      </c>
      <c r="B37" s="95"/>
      <c r="C37" s="117">
        <f>$C$12*G21</f>
        <v>18847302.923051566</v>
      </c>
      <c r="D37" s="113"/>
      <c r="E37" s="118">
        <f>C37/F21</f>
        <v>8.5744539734742692E-3</v>
      </c>
      <c r="F37" s="95"/>
      <c r="G37" s="95"/>
    </row>
    <row r="38" spans="1:10" ht="12" customHeight="1" x14ac:dyDescent="0.35">
      <c r="A38" s="95"/>
      <c r="B38" s="95"/>
      <c r="C38" s="117"/>
      <c r="D38" s="113"/>
      <c r="E38" s="120"/>
      <c r="F38" s="95"/>
      <c r="G38" s="95"/>
    </row>
    <row r="39" spans="1:10" ht="12" customHeight="1" x14ac:dyDescent="0.35">
      <c r="A39" s="95" t="s">
        <v>9</v>
      </c>
      <c r="B39" s="95"/>
      <c r="C39" s="117">
        <f>$C$12*G23</f>
        <v>82471550.898555815</v>
      </c>
      <c r="D39" s="113"/>
      <c r="E39" s="118">
        <f>C39/F23</f>
        <v>8.5744539734742675E-3</v>
      </c>
      <c r="F39" s="95"/>
      <c r="G39" s="95"/>
    </row>
    <row r="40" spans="1:10" ht="12" customHeight="1" x14ac:dyDescent="0.35">
      <c r="A40" s="95"/>
      <c r="B40" s="95"/>
      <c r="C40" s="117"/>
      <c r="D40" s="113"/>
      <c r="E40" s="118"/>
      <c r="F40" s="95"/>
      <c r="G40" s="95"/>
    </row>
    <row r="41" spans="1:10" ht="12" customHeight="1" x14ac:dyDescent="0.35">
      <c r="A41" s="95" t="s">
        <v>8</v>
      </c>
      <c r="B41" s="95"/>
      <c r="C41" s="121">
        <f>$C$12*G25</f>
        <v>2828182.6651079804</v>
      </c>
      <c r="D41" s="113"/>
      <c r="E41" s="122">
        <f>C41/F25</f>
        <v>8.5744539734742692E-3</v>
      </c>
      <c r="F41" s="95"/>
      <c r="G41" s="95"/>
    </row>
    <row r="42" spans="1:10" ht="12" customHeight="1" x14ac:dyDescent="0.35">
      <c r="A42" s="95"/>
      <c r="B42" s="95"/>
      <c r="C42" s="117"/>
      <c r="D42" s="113"/>
      <c r="E42" s="118"/>
      <c r="F42" s="95"/>
      <c r="G42" s="95"/>
    </row>
    <row r="43" spans="1:10" ht="12" customHeight="1" x14ac:dyDescent="0.35">
      <c r="A43" s="99" t="s">
        <v>29</v>
      </c>
      <c r="B43" s="95"/>
      <c r="C43" s="117">
        <f>SUM(C35:C42)</f>
        <v>152475107</v>
      </c>
      <c r="D43" s="113"/>
      <c r="E43" s="61">
        <f>C43/F29</f>
        <v>8.5744539734742692E-3</v>
      </c>
      <c r="F43" s="95"/>
      <c r="G43" s="95"/>
    </row>
    <row r="44" spans="1:10" ht="12" customHeight="1" x14ac:dyDescent="0.35">
      <c r="A44" s="95"/>
      <c r="B44" s="91"/>
      <c r="C44" s="95"/>
      <c r="D44" s="91"/>
      <c r="E44" s="95"/>
      <c r="F44" s="123"/>
      <c r="G44" s="124"/>
      <c r="H44" s="54"/>
      <c r="I44" s="54"/>
      <c r="J44" s="54"/>
    </row>
    <row r="45" spans="1:10" ht="12" customHeight="1" x14ac:dyDescent="0.35">
      <c r="A45" s="55"/>
      <c r="B45" s="55"/>
      <c r="C45" s="115"/>
      <c r="D45" s="95"/>
      <c r="E45" s="95"/>
      <c r="F45" s="95"/>
      <c r="G45" s="95"/>
    </row>
    <row r="46" spans="1:10" ht="12" customHeight="1" x14ac:dyDescent="0.35">
      <c r="A46" s="95"/>
      <c r="B46" s="95"/>
      <c r="C46" s="95"/>
      <c r="D46" s="95"/>
      <c r="E46" s="95"/>
      <c r="F46" s="95"/>
      <c r="G46" s="95"/>
    </row>
    <row r="47" spans="1:10" ht="15.75" customHeight="1" x14ac:dyDescent="0.35">
      <c r="A47" s="53" t="s">
        <v>39</v>
      </c>
      <c r="B47" s="95"/>
      <c r="C47" s="95"/>
      <c r="D47" s="95"/>
      <c r="E47" s="95"/>
      <c r="F47" s="95"/>
      <c r="G47" s="95"/>
    </row>
    <row r="48" spans="1:10" x14ac:dyDescent="0.35">
      <c r="A48" s="95"/>
      <c r="B48" s="95"/>
      <c r="C48" s="95"/>
      <c r="D48" s="95"/>
      <c r="E48" s="95"/>
      <c r="F48" s="95"/>
      <c r="G48" s="95"/>
    </row>
    <row r="49" spans="1:16" x14ac:dyDescent="0.35">
      <c r="A49" s="55" t="s">
        <v>38</v>
      </c>
      <c r="B49" s="95"/>
      <c r="C49" s="125">
        <v>15828947</v>
      </c>
      <c r="D49" s="95"/>
      <c r="E49" s="95"/>
      <c r="F49" s="95"/>
      <c r="G49" s="95"/>
    </row>
    <row r="50" spans="1:16" x14ac:dyDescent="0.35">
      <c r="A50" s="126" t="s">
        <v>37</v>
      </c>
      <c r="B50" s="95"/>
      <c r="C50" s="127">
        <v>-10000000</v>
      </c>
      <c r="D50" s="95"/>
      <c r="E50" s="95"/>
      <c r="F50" s="95"/>
      <c r="G50" s="95"/>
    </row>
    <row r="51" spans="1:16" x14ac:dyDescent="0.35">
      <c r="A51" s="55" t="s">
        <v>36</v>
      </c>
      <c r="B51" s="95"/>
      <c r="C51" s="128">
        <f>SUM(C49:C50)</f>
        <v>5828947</v>
      </c>
      <c r="D51" s="95"/>
      <c r="E51" s="95"/>
      <c r="F51" s="95"/>
      <c r="G51" s="95"/>
    </row>
    <row r="52" spans="1:16" x14ac:dyDescent="0.35">
      <c r="A52" s="95"/>
      <c r="B52" s="95"/>
      <c r="C52" s="95"/>
      <c r="D52" s="95"/>
      <c r="E52" s="95"/>
      <c r="F52" s="95"/>
      <c r="G52" s="95"/>
    </row>
    <row r="53" spans="1:16" x14ac:dyDescent="0.35">
      <c r="A53" s="95"/>
      <c r="B53" s="95"/>
      <c r="C53" s="95"/>
      <c r="D53" s="95"/>
      <c r="E53" s="95"/>
      <c r="F53" s="95"/>
      <c r="G53" s="95"/>
    </row>
    <row r="54" spans="1:16" ht="39" customHeight="1" x14ac:dyDescent="0.35">
      <c r="A54" s="95"/>
      <c r="B54" s="95"/>
      <c r="C54" s="59" t="str">
        <f>$C$17</f>
        <v>2019 GRC P2 Sales TY 2020
(kWh)</v>
      </c>
      <c r="D54" s="60"/>
      <c r="E54" s="59" t="s">
        <v>35</v>
      </c>
      <c r="F54" s="59" t="s">
        <v>289</v>
      </c>
      <c r="G54" s="95"/>
      <c r="I54" s="54"/>
      <c r="J54" s="54"/>
      <c r="K54" s="54"/>
      <c r="L54" s="54"/>
      <c r="M54" s="54"/>
      <c r="N54" s="54"/>
      <c r="O54" s="54"/>
      <c r="P54" s="54"/>
    </row>
    <row r="55" spans="1:16" ht="15.5" x14ac:dyDescent="0.35">
      <c r="A55" s="95"/>
      <c r="B55" s="95"/>
      <c r="C55" s="95"/>
      <c r="D55" s="95"/>
      <c r="E55" s="95"/>
      <c r="F55" s="113"/>
      <c r="G55" s="95"/>
      <c r="I55" s="54"/>
      <c r="J55" s="54"/>
      <c r="K55" s="54"/>
      <c r="L55" s="54"/>
      <c r="M55" s="54"/>
      <c r="N55" s="54"/>
      <c r="O55" s="54"/>
      <c r="P55" s="54"/>
    </row>
    <row r="56" spans="1:16" ht="15.5" x14ac:dyDescent="0.35">
      <c r="A56" s="95" t="s">
        <v>10</v>
      </c>
      <c r="B56" s="95"/>
      <c r="C56" s="102">
        <v>6652988141.1181479</v>
      </c>
      <c r="D56" s="95"/>
      <c r="E56" s="103">
        <v>6652988141.1181479</v>
      </c>
      <c r="F56" s="104">
        <f>E56/$E$66</f>
        <v>0.35357920016305383</v>
      </c>
      <c r="G56" s="95"/>
      <c r="I56" s="54"/>
      <c r="J56" s="54"/>
      <c r="K56" s="54"/>
      <c r="L56" s="54"/>
      <c r="M56" s="54"/>
      <c r="N56" s="54"/>
      <c r="O56" s="54"/>
      <c r="P56" s="54"/>
    </row>
    <row r="57" spans="1:16" ht="15.5" x14ac:dyDescent="0.35">
      <c r="A57" s="95"/>
      <c r="B57" s="95"/>
      <c r="C57" s="102"/>
      <c r="D57" s="95"/>
      <c r="E57" s="103"/>
      <c r="F57" s="104"/>
      <c r="G57" s="95"/>
      <c r="I57" s="54"/>
      <c r="J57" s="54"/>
      <c r="K57" s="54"/>
      <c r="L57" s="54"/>
      <c r="M57" s="54"/>
      <c r="N57" s="54"/>
      <c r="O57" s="54"/>
      <c r="P57" s="54"/>
    </row>
    <row r="58" spans="1:16" ht="15.5" x14ac:dyDescent="0.35">
      <c r="A58" s="95" t="s">
        <v>2</v>
      </c>
      <c r="B58" s="95"/>
      <c r="C58" s="102">
        <v>2200347912.2960796</v>
      </c>
      <c r="D58" s="95"/>
      <c r="E58" s="103">
        <v>2200347912.2960796</v>
      </c>
      <c r="F58" s="104">
        <f>E58/$E$66</f>
        <v>0.11693952227297034</v>
      </c>
      <c r="G58" s="95"/>
      <c r="I58" s="54"/>
      <c r="J58" s="54"/>
      <c r="K58" s="54"/>
      <c r="L58" s="54"/>
      <c r="M58" s="54"/>
      <c r="N58" s="54"/>
      <c r="O58" s="54"/>
      <c r="P58" s="54"/>
    </row>
    <row r="59" spans="1:16" ht="15.5" x14ac:dyDescent="0.35">
      <c r="A59" s="95"/>
      <c r="B59" s="95"/>
      <c r="C59" s="102"/>
      <c r="D59" s="95"/>
      <c r="E59" s="103"/>
      <c r="F59" s="104"/>
      <c r="G59" s="95"/>
      <c r="I59" s="54"/>
      <c r="J59" s="54"/>
      <c r="K59" s="54"/>
      <c r="L59" s="54"/>
      <c r="M59" s="54"/>
      <c r="N59" s="54"/>
      <c r="O59" s="54"/>
      <c r="P59" s="54"/>
    </row>
    <row r="60" spans="1:16" ht="15.5" x14ac:dyDescent="0.35">
      <c r="A60" s="95" t="s">
        <v>9</v>
      </c>
      <c r="B60" s="95"/>
      <c r="C60" s="102">
        <v>9632944256.333025</v>
      </c>
      <c r="D60" s="95"/>
      <c r="E60" s="103">
        <v>9632944256.333025</v>
      </c>
      <c r="F60" s="104">
        <f>E60/$E$66</f>
        <v>0.51195172050871518</v>
      </c>
      <c r="G60" s="95"/>
      <c r="I60" s="54"/>
      <c r="J60" s="54"/>
      <c r="K60" s="54"/>
      <c r="L60" s="54"/>
      <c r="M60" s="54"/>
      <c r="N60" s="54"/>
      <c r="O60" s="54"/>
      <c r="P60" s="54"/>
    </row>
    <row r="61" spans="1:16" ht="15.5" x14ac:dyDescent="0.35">
      <c r="A61" s="95"/>
      <c r="B61" s="95"/>
      <c r="C61" s="102"/>
      <c r="D61" s="95"/>
      <c r="E61" s="103"/>
      <c r="F61" s="104"/>
      <c r="G61" s="95"/>
      <c r="I61" s="54"/>
      <c r="J61" s="54"/>
      <c r="K61" s="54"/>
      <c r="L61" s="54"/>
      <c r="M61" s="54"/>
      <c r="N61" s="54"/>
      <c r="O61" s="54"/>
      <c r="P61" s="54"/>
    </row>
    <row r="62" spans="1:16" ht="15.5" x14ac:dyDescent="0.35">
      <c r="A62" s="95" t="s">
        <v>8</v>
      </c>
      <c r="B62" s="95"/>
      <c r="C62" s="102">
        <v>329838223.38509023</v>
      </c>
      <c r="D62" s="95"/>
      <c r="E62" s="103">
        <v>329838223.38509023</v>
      </c>
      <c r="F62" s="104">
        <f>E62/$E$66</f>
        <v>1.7529557055260624E-2</v>
      </c>
      <c r="G62" s="95"/>
      <c r="I62" s="54"/>
      <c r="J62" s="54"/>
      <c r="K62" s="54"/>
      <c r="L62" s="54"/>
      <c r="M62" s="54"/>
      <c r="N62" s="54"/>
      <c r="O62" s="54"/>
      <c r="P62" s="54"/>
    </row>
    <row r="63" spans="1:16" ht="15.5" x14ac:dyDescent="0.35">
      <c r="A63" s="95"/>
      <c r="B63" s="95"/>
      <c r="C63" s="102"/>
      <c r="D63" s="95"/>
      <c r="E63" s="103"/>
      <c r="F63" s="104"/>
      <c r="G63" s="95"/>
      <c r="I63" s="54"/>
      <c r="J63" s="54"/>
      <c r="K63" s="54"/>
      <c r="L63" s="54"/>
      <c r="M63" s="54"/>
      <c r="N63" s="54"/>
      <c r="O63" s="54"/>
      <c r="P63" s="54"/>
    </row>
    <row r="64" spans="1:16" ht="15.5" x14ac:dyDescent="0.35">
      <c r="A64" s="95" t="s">
        <v>0</v>
      </c>
      <c r="B64" s="95"/>
      <c r="C64" s="82">
        <v>85800427</v>
      </c>
      <c r="D64" s="95"/>
      <c r="E64" s="82">
        <v>0</v>
      </c>
      <c r="F64" s="129">
        <f>E64/$E$66</f>
        <v>0</v>
      </c>
      <c r="G64" s="95"/>
      <c r="I64" s="54"/>
      <c r="J64" s="54"/>
      <c r="K64" s="54"/>
      <c r="L64" s="54"/>
      <c r="M64" s="54"/>
      <c r="N64" s="54"/>
      <c r="O64" s="54"/>
      <c r="P64" s="54"/>
    </row>
    <row r="65" spans="1:16" ht="15.5" x14ac:dyDescent="0.35">
      <c r="A65" s="95"/>
      <c r="B65" s="95"/>
      <c r="C65" s="95"/>
      <c r="D65" s="95"/>
      <c r="E65" s="95"/>
      <c r="F65" s="109"/>
      <c r="G65" s="95"/>
      <c r="I65" s="54"/>
      <c r="J65" s="54"/>
      <c r="K65" s="54"/>
      <c r="L65" s="54"/>
      <c r="M65" s="54"/>
      <c r="N65" s="54"/>
      <c r="O65" s="54"/>
      <c r="P65" s="54"/>
    </row>
    <row r="66" spans="1:16" ht="15.5" x14ac:dyDescent="0.35">
      <c r="A66" s="95" t="s">
        <v>34</v>
      </c>
      <c r="B66" s="95"/>
      <c r="C66" s="103">
        <f>SUM(C56:C64)</f>
        <v>18901918960.132343</v>
      </c>
      <c r="D66" s="113" t="s">
        <v>33</v>
      </c>
      <c r="E66" s="103">
        <f>SUM(E56:E64)</f>
        <v>18816118533.132343</v>
      </c>
      <c r="F66" s="109">
        <f>SUM(F56:F64)</f>
        <v>0.99999999999999989</v>
      </c>
      <c r="G66" s="95"/>
      <c r="I66" s="54"/>
      <c r="J66" s="54"/>
      <c r="K66" s="54"/>
      <c r="L66" s="54"/>
      <c r="M66" s="54"/>
      <c r="N66" s="54"/>
      <c r="O66" s="54"/>
      <c r="P66" s="54"/>
    </row>
    <row r="67" spans="1:16" ht="15.5" x14ac:dyDescent="0.35">
      <c r="A67" s="95"/>
      <c r="B67" s="95"/>
      <c r="C67" s="95"/>
      <c r="D67" s="95"/>
      <c r="G67" s="95"/>
      <c r="I67" s="54"/>
      <c r="J67" s="54"/>
      <c r="K67" s="54"/>
      <c r="L67" s="54"/>
      <c r="M67" s="54"/>
      <c r="N67" s="54"/>
      <c r="O67" s="54"/>
      <c r="P67" s="54"/>
    </row>
    <row r="68" spans="1:16" ht="15.5" x14ac:dyDescent="0.35">
      <c r="A68" s="95"/>
      <c r="B68" s="95"/>
      <c r="C68" s="95"/>
      <c r="D68" s="95"/>
      <c r="E68" s="114"/>
      <c r="F68" s="115"/>
      <c r="G68" s="95"/>
      <c r="I68" s="54"/>
      <c r="J68" s="54"/>
      <c r="K68" s="54"/>
      <c r="L68" s="54"/>
      <c r="M68" s="54"/>
      <c r="N68" s="54"/>
      <c r="O68" s="54"/>
      <c r="P68" s="54"/>
    </row>
    <row r="69" spans="1:16" x14ac:dyDescent="0.35">
      <c r="A69" s="53" t="s">
        <v>32</v>
      </c>
      <c r="B69" s="95"/>
      <c r="C69" s="95"/>
      <c r="D69" s="95"/>
      <c r="E69" s="95"/>
      <c r="F69" s="95"/>
      <c r="G69" s="95"/>
    </row>
    <row r="70" spans="1:16" ht="39.5" x14ac:dyDescent="0.35">
      <c r="A70" s="95"/>
      <c r="B70" s="95"/>
      <c r="C70" s="59" t="s">
        <v>31</v>
      </c>
      <c r="D70" s="60"/>
      <c r="E70" s="59" t="s">
        <v>30</v>
      </c>
      <c r="F70" s="95"/>
      <c r="G70" s="95"/>
    </row>
    <row r="71" spans="1:16" x14ac:dyDescent="0.35">
      <c r="A71" s="95"/>
      <c r="B71" s="95"/>
      <c r="C71" s="95"/>
      <c r="D71" s="95"/>
      <c r="E71" s="95"/>
      <c r="F71" s="116"/>
      <c r="G71" s="95"/>
    </row>
    <row r="72" spans="1:16" x14ac:dyDescent="0.35">
      <c r="A72" s="95" t="s">
        <v>10</v>
      </c>
      <c r="B72" s="95"/>
      <c r="C72" s="130">
        <f>$C$51*F56</f>
        <v>2060994.4180528321</v>
      </c>
      <c r="D72" s="113"/>
      <c r="E72" s="118">
        <f>C72/E56</f>
        <v>3.0978477254679836E-4</v>
      </c>
      <c r="F72" s="119"/>
      <c r="G72" s="95"/>
    </row>
    <row r="73" spans="1:16" x14ac:dyDescent="0.35">
      <c r="A73" s="95"/>
      <c r="B73" s="95"/>
      <c r="C73" s="117"/>
      <c r="D73" s="113"/>
      <c r="E73" s="118"/>
      <c r="F73" s="95"/>
      <c r="G73" s="95"/>
    </row>
    <row r="74" spans="1:16" x14ac:dyDescent="0.35">
      <c r="A74" s="95" t="s">
        <v>2</v>
      </c>
      <c r="B74" s="95"/>
      <c r="C74" s="117">
        <f>$C$51*F58</f>
        <v>681634.27753446368</v>
      </c>
      <c r="D74" s="113"/>
      <c r="E74" s="118">
        <f>C74/E58</f>
        <v>3.0978477254679836E-4</v>
      </c>
      <c r="F74" s="95"/>
      <c r="G74" s="95"/>
    </row>
    <row r="75" spans="1:16" x14ac:dyDescent="0.35">
      <c r="A75" s="95"/>
      <c r="B75" s="95"/>
      <c r="C75" s="117"/>
      <c r="D75" s="113"/>
      <c r="E75" s="118"/>
      <c r="F75" s="95"/>
      <c r="G75" s="95"/>
    </row>
    <row r="76" spans="1:16" x14ac:dyDescent="0.35">
      <c r="A76" s="95" t="s">
        <v>9</v>
      </c>
      <c r="B76" s="95"/>
      <c r="C76" s="130">
        <f>$C$51*F60</f>
        <v>2984139.4454041137</v>
      </c>
      <c r="D76" s="113"/>
      <c r="E76" s="118">
        <f>C76/E60</f>
        <v>3.0978477254679836E-4</v>
      </c>
      <c r="F76" s="95"/>
      <c r="G76" s="95"/>
    </row>
    <row r="77" spans="1:16" x14ac:dyDescent="0.35">
      <c r="A77" s="95"/>
      <c r="B77" s="95"/>
      <c r="C77" s="117"/>
      <c r="D77" s="113"/>
      <c r="E77" s="118"/>
      <c r="F77" s="95"/>
      <c r="G77" s="95"/>
    </row>
    <row r="78" spans="1:16" x14ac:dyDescent="0.35">
      <c r="A78" s="95" t="s">
        <v>8</v>
      </c>
      <c r="B78" s="95"/>
      <c r="C78" s="131">
        <f>$C$51*F62</f>
        <v>102178.85900859024</v>
      </c>
      <c r="D78" s="113"/>
      <c r="E78" s="122">
        <f>C78/E62</f>
        <v>3.0978477254679836E-4</v>
      </c>
      <c r="F78" s="95"/>
      <c r="G78" s="95"/>
    </row>
    <row r="79" spans="1:16" x14ac:dyDescent="0.35">
      <c r="A79" s="95"/>
      <c r="B79" s="95"/>
      <c r="C79" s="117"/>
      <c r="D79" s="113"/>
      <c r="E79" s="118"/>
      <c r="F79" s="95"/>
      <c r="G79" s="95"/>
    </row>
    <row r="80" spans="1:16" x14ac:dyDescent="0.35">
      <c r="A80" s="99" t="s">
        <v>29</v>
      </c>
      <c r="B80" s="95"/>
      <c r="C80" s="117">
        <f>SUM(C72:C78)</f>
        <v>5828947.0000000009</v>
      </c>
      <c r="D80" s="113"/>
      <c r="E80" s="118">
        <f>C80/E66</f>
        <v>3.0978477254679841E-4</v>
      </c>
      <c r="F80" s="95"/>
      <c r="G80" s="95"/>
    </row>
    <row r="81" spans="1:10" x14ac:dyDescent="0.35">
      <c r="F81" s="95"/>
      <c r="G81" s="95"/>
    </row>
    <row r="82" spans="1:10" x14ac:dyDescent="0.35">
      <c r="A82" s="55"/>
      <c r="B82" s="55"/>
      <c r="C82" s="115"/>
      <c r="D82" s="95"/>
      <c r="E82" s="95"/>
      <c r="F82" s="95"/>
      <c r="G82" s="95"/>
    </row>
    <row r="83" spans="1:10" x14ac:dyDescent="0.35">
      <c r="D83" s="95"/>
      <c r="E83" s="95"/>
      <c r="F83" s="95"/>
      <c r="G83" s="95"/>
    </row>
    <row r="84" spans="1:10" ht="15.5" x14ac:dyDescent="0.35">
      <c r="A84" s="183" t="s">
        <v>28</v>
      </c>
      <c r="B84" s="183"/>
      <c r="C84" s="183"/>
      <c r="D84" s="183"/>
      <c r="E84" s="183"/>
      <c r="F84" s="183"/>
      <c r="G84" s="183"/>
    </row>
    <row r="85" spans="1:10" x14ac:dyDescent="0.35">
      <c r="A85" s="95"/>
      <c r="B85" s="95"/>
      <c r="C85" s="95"/>
      <c r="D85" s="95"/>
      <c r="E85" s="95"/>
      <c r="F85" s="95"/>
      <c r="G85" s="95"/>
    </row>
    <row r="86" spans="1:10" ht="15.75" customHeight="1" x14ac:dyDescent="0.35">
      <c r="A86" s="53" t="s">
        <v>27</v>
      </c>
      <c r="B86" s="95"/>
      <c r="C86" s="95"/>
      <c r="D86" s="95"/>
      <c r="E86" s="95"/>
      <c r="F86" s="95"/>
      <c r="G86" s="95"/>
    </row>
    <row r="87" spans="1:10" ht="56.25" customHeight="1" x14ac:dyDescent="0.35">
      <c r="A87" s="99"/>
      <c r="B87" s="95"/>
      <c r="C87" s="59" t="str">
        <f>$C$17</f>
        <v>2019 GRC P2 Sales TY 2020
(kWh)</v>
      </c>
      <c r="D87" s="95"/>
      <c r="E87" s="59" t="s">
        <v>289</v>
      </c>
      <c r="F87" s="59" t="s">
        <v>26</v>
      </c>
      <c r="G87" s="59" t="s">
        <v>25</v>
      </c>
    </row>
    <row r="88" spans="1:10" x14ac:dyDescent="0.35">
      <c r="A88" s="99"/>
      <c r="B88" s="95"/>
      <c r="C88" s="62"/>
      <c r="D88" s="95"/>
      <c r="E88" s="62"/>
      <c r="F88" s="62"/>
      <c r="G88" s="95"/>
    </row>
    <row r="89" spans="1:10" x14ac:dyDescent="0.35">
      <c r="A89" s="99" t="s">
        <v>10</v>
      </c>
      <c r="B89" s="95"/>
      <c r="C89" s="102">
        <v>6652988141.1181479</v>
      </c>
      <c r="D89" s="95"/>
      <c r="E89" s="104">
        <v>0.35197421781092891</v>
      </c>
      <c r="F89" s="124">
        <f>E89*F$99</f>
        <v>6032060.2302579591</v>
      </c>
      <c r="G89" s="118">
        <f>F89/C89</f>
        <v>9.0666931945622994E-4</v>
      </c>
      <c r="H89" s="132"/>
      <c r="J89" s="133"/>
    </row>
    <row r="90" spans="1:10" x14ac:dyDescent="0.35">
      <c r="A90" s="99"/>
      <c r="B90" s="95"/>
      <c r="C90" s="102"/>
      <c r="D90" s="95"/>
      <c r="E90" s="104"/>
      <c r="F90" s="124"/>
      <c r="G90" s="118"/>
      <c r="H90" s="132"/>
    </row>
    <row r="91" spans="1:10" x14ac:dyDescent="0.35">
      <c r="A91" s="99" t="s">
        <v>2</v>
      </c>
      <c r="B91" s="95"/>
      <c r="C91" s="102">
        <v>2200347912.2960796</v>
      </c>
      <c r="D91" s="95"/>
      <c r="E91" s="104">
        <v>0.11640870521860885</v>
      </c>
      <c r="F91" s="124">
        <f>E91*F$99</f>
        <v>1994987.9442084227</v>
      </c>
      <c r="G91" s="118">
        <f>F91/C91</f>
        <v>9.0666931945622984E-4</v>
      </c>
      <c r="H91" s="132"/>
      <c r="J91" s="133"/>
    </row>
    <row r="92" spans="1:10" x14ac:dyDescent="0.35">
      <c r="A92" s="99"/>
      <c r="B92" s="95"/>
      <c r="C92" s="102"/>
      <c r="D92" s="95"/>
      <c r="E92" s="104"/>
      <c r="F92" s="124"/>
      <c r="G92" s="118"/>
      <c r="H92" s="132"/>
    </row>
    <row r="93" spans="1:10" x14ac:dyDescent="0.35">
      <c r="A93" s="99" t="s">
        <v>9</v>
      </c>
      <c r="B93" s="95"/>
      <c r="C93" s="102">
        <v>9632944256.333025</v>
      </c>
      <c r="D93" s="95"/>
      <c r="E93" s="104">
        <v>0.50962784660386562</v>
      </c>
      <c r="F93" s="124">
        <f>E93*F$99</f>
        <v>8733895.0132492613</v>
      </c>
      <c r="G93" s="118">
        <f>F93/C93</f>
        <v>9.0666931945622984E-4</v>
      </c>
      <c r="H93" s="132"/>
      <c r="J93" s="133"/>
    </row>
    <row r="94" spans="1:10" x14ac:dyDescent="0.35">
      <c r="A94" s="99"/>
      <c r="B94" s="95"/>
      <c r="C94" s="102"/>
      <c r="D94" s="95"/>
      <c r="E94" s="104"/>
      <c r="F94" s="124"/>
      <c r="G94" s="118"/>
      <c r="H94" s="132"/>
    </row>
    <row r="95" spans="1:10" x14ac:dyDescent="0.35">
      <c r="A95" s="99" t="s">
        <v>8</v>
      </c>
      <c r="B95" s="95"/>
      <c r="C95" s="102">
        <v>329838223.38509023</v>
      </c>
      <c r="D95" s="95"/>
      <c r="E95" s="104">
        <v>1.744998611414959E-2</v>
      </c>
      <c r="F95" s="124">
        <f>E95*F$99</f>
        <v>299054.19752721168</v>
      </c>
      <c r="G95" s="118">
        <f>F95/C95</f>
        <v>9.0666931945622984E-4</v>
      </c>
      <c r="H95" s="132"/>
      <c r="J95" s="133"/>
    </row>
    <row r="96" spans="1:10" x14ac:dyDescent="0.35">
      <c r="A96" s="99"/>
      <c r="B96" s="95"/>
      <c r="C96" s="102"/>
      <c r="D96" s="95"/>
      <c r="E96" s="104"/>
      <c r="F96" s="124"/>
      <c r="G96" s="118"/>
      <c r="H96" s="132"/>
    </row>
    <row r="97" spans="1:16" x14ac:dyDescent="0.35">
      <c r="A97" s="99" t="s">
        <v>0</v>
      </c>
      <c r="B97" s="95"/>
      <c r="C97" s="82">
        <v>85800427</v>
      </c>
      <c r="D97" s="95"/>
      <c r="E97" s="134">
        <v>4.5392442524470151E-3</v>
      </c>
      <c r="F97" s="135">
        <f>E97*F$99</f>
        <v>77792.614757143936</v>
      </c>
      <c r="G97" s="122">
        <f>F97/C97</f>
        <v>9.0666931945622994E-4</v>
      </c>
      <c r="H97" s="132"/>
      <c r="J97" s="133"/>
    </row>
    <row r="98" spans="1:16" x14ac:dyDescent="0.35">
      <c r="A98" s="99"/>
      <c r="B98" s="95"/>
      <c r="C98" s="108"/>
      <c r="D98" s="95"/>
      <c r="E98" s="136"/>
      <c r="F98" s="124"/>
      <c r="G98" s="118"/>
      <c r="H98" s="132"/>
    </row>
    <row r="99" spans="1:16" x14ac:dyDescent="0.35">
      <c r="A99" s="99" t="s">
        <v>7</v>
      </c>
      <c r="B99" s="95"/>
      <c r="C99" s="103">
        <f>SUM(C89:C97)</f>
        <v>18901918960.132343</v>
      </c>
      <c r="D99" s="95"/>
      <c r="E99" s="136">
        <f>SUM(E89:E97)</f>
        <v>1</v>
      </c>
      <c r="F99" s="67">
        <v>17137790</v>
      </c>
      <c r="G99" s="118">
        <f>F99/C99</f>
        <v>9.0666931945622984E-4</v>
      </c>
      <c r="I99" s="137"/>
      <c r="J99" s="137"/>
    </row>
    <row r="100" spans="1:16" x14ac:dyDescent="0.35">
      <c r="A100" s="99"/>
      <c r="B100" s="95"/>
      <c r="C100" s="108"/>
      <c r="D100" s="95"/>
      <c r="F100" s="124"/>
      <c r="G100" s="138"/>
    </row>
    <row r="101" spans="1:16" x14ac:dyDescent="0.35">
      <c r="A101" s="99"/>
      <c r="B101" s="95"/>
      <c r="C101" s="55"/>
      <c r="D101" s="95"/>
      <c r="E101" s="115"/>
      <c r="F101" s="115"/>
      <c r="G101" s="138"/>
    </row>
    <row r="102" spans="1:16" x14ac:dyDescent="0.35">
      <c r="A102" s="99"/>
      <c r="B102" s="95"/>
      <c r="C102" s="95"/>
      <c r="D102" s="95"/>
      <c r="E102" s="95"/>
      <c r="F102" s="95"/>
      <c r="G102" s="138"/>
    </row>
    <row r="103" spans="1:16" ht="15.75" customHeight="1" x14ac:dyDescent="0.35">
      <c r="A103" s="53" t="s">
        <v>24</v>
      </c>
      <c r="B103" s="95"/>
      <c r="C103" s="95"/>
      <c r="D103" s="95"/>
      <c r="E103" s="95"/>
      <c r="F103" s="95"/>
      <c r="G103" s="95"/>
    </row>
    <row r="104" spans="1:16" ht="52.5" x14ac:dyDescent="0.35">
      <c r="A104" s="99"/>
      <c r="B104" s="95"/>
      <c r="C104" s="59" t="str">
        <f>$C$17</f>
        <v>2019 GRC P2 Sales TY 2020
(kWh)</v>
      </c>
      <c r="D104" s="95"/>
      <c r="E104" s="59" t="s">
        <v>289</v>
      </c>
      <c r="F104" s="59" t="s">
        <v>23</v>
      </c>
      <c r="G104" s="59" t="s">
        <v>22</v>
      </c>
      <c r="H104" s="59" t="s">
        <v>21</v>
      </c>
      <c r="I104" s="63" t="s">
        <v>20</v>
      </c>
      <c r="J104" s="59" t="s">
        <v>16</v>
      </c>
      <c r="K104" s="63" t="s">
        <v>19</v>
      </c>
      <c r="L104" s="59" t="s">
        <v>18</v>
      </c>
      <c r="M104" s="126"/>
      <c r="N104" s="126"/>
      <c r="O104" s="64" t="s">
        <v>17</v>
      </c>
      <c r="P104" s="59" t="s">
        <v>15</v>
      </c>
    </row>
    <row r="105" spans="1:16" x14ac:dyDescent="0.35">
      <c r="A105" s="99"/>
      <c r="B105" s="95"/>
      <c r="C105" s="62"/>
      <c r="D105" s="95"/>
      <c r="E105" s="62"/>
      <c r="F105" s="62"/>
      <c r="G105" s="138"/>
      <c r="J105" s="65"/>
      <c r="L105" s="65"/>
    </row>
    <row r="106" spans="1:16" x14ac:dyDescent="0.35">
      <c r="A106" s="99" t="s">
        <v>10</v>
      </c>
      <c r="B106" s="95"/>
      <c r="C106" s="102">
        <v>6652988141.1181479</v>
      </c>
      <c r="D106" s="95"/>
      <c r="E106" s="104">
        <v>0.25849481349986364</v>
      </c>
      <c r="F106" s="124">
        <f>E106*F$116</f>
        <v>0</v>
      </c>
      <c r="G106" s="118">
        <f>F106/C106</f>
        <v>0</v>
      </c>
      <c r="H106" s="118">
        <f>G89+G106</f>
        <v>9.0666931945622994E-4</v>
      </c>
      <c r="I106" s="139">
        <v>3.0599999999999998E-3</v>
      </c>
      <c r="J106" s="140">
        <f>H106-I106</f>
        <v>-2.1533306805437699E-3</v>
      </c>
      <c r="K106" s="141">
        <f>IF(J106&lt;0,0,J106*C106)</f>
        <v>0</v>
      </c>
      <c r="L106" s="142">
        <f>IF(K106=0,F106,0)</f>
        <v>0</v>
      </c>
      <c r="M106" s="143">
        <f>IF(K106=0,IFERROR((L106/L$116),0),0)</f>
        <v>0</v>
      </c>
      <c r="N106" s="144">
        <f>IF(K106=0,(K$116*M106)/C106,0)</f>
        <v>0</v>
      </c>
      <c r="O106" s="133">
        <f>IF((H106+N106)&gt;I106,I106,(H106+N106))</f>
        <v>9.0666931945622994E-4</v>
      </c>
      <c r="P106" s="145">
        <f>N106*C106</f>
        <v>0</v>
      </c>
    </row>
    <row r="107" spans="1:16" x14ac:dyDescent="0.35">
      <c r="A107" s="99"/>
      <c r="B107" s="95"/>
      <c r="C107" s="102"/>
      <c r="D107" s="95"/>
      <c r="E107" s="104"/>
      <c r="F107" s="124"/>
      <c r="G107" s="118"/>
      <c r="H107" s="118"/>
      <c r="I107" s="146"/>
      <c r="J107" s="140"/>
      <c r="L107" s="142"/>
      <c r="M107" s="143"/>
      <c r="O107" s="133"/>
    </row>
    <row r="108" spans="1:16" x14ac:dyDescent="0.35">
      <c r="A108" s="99" t="s">
        <v>2</v>
      </c>
      <c r="B108" s="95"/>
      <c r="C108" s="102">
        <v>2200347912.2960796</v>
      </c>
      <c r="D108" s="95"/>
      <c r="E108" s="104">
        <v>0.15496379477528138</v>
      </c>
      <c r="F108" s="124">
        <f>E108*F$116</f>
        <v>0</v>
      </c>
      <c r="G108" s="118">
        <f>F108/C108</f>
        <v>0</v>
      </c>
      <c r="H108" s="118">
        <f>G91+G108</f>
        <v>9.0666931945622984E-4</v>
      </c>
      <c r="I108" s="147">
        <v>3.2200000000000002E-3</v>
      </c>
      <c r="J108" s="140">
        <f>H108-I108</f>
        <v>-2.3133306805437704E-3</v>
      </c>
      <c r="K108" s="141">
        <f>IF(J108&lt;0,0,J108*C108)</f>
        <v>0</v>
      </c>
      <c r="L108" s="142">
        <f>IF(K108=0,F108,0)</f>
        <v>0</v>
      </c>
      <c r="M108" s="143">
        <f>IF(K108=0,IFERROR((L108/L$116),0),0)</f>
        <v>0</v>
      </c>
      <c r="N108" s="144">
        <f>IF(K108=0,(K$116*M108)/C108,0)</f>
        <v>0</v>
      </c>
      <c r="O108" s="133">
        <f>IF((H108+N108)&gt;I108,I108,(H108+N108))</f>
        <v>9.0666931945622984E-4</v>
      </c>
      <c r="P108" s="145">
        <f>N108*C108</f>
        <v>0</v>
      </c>
    </row>
    <row r="109" spans="1:16" x14ac:dyDescent="0.35">
      <c r="A109" s="99"/>
      <c r="B109" s="95"/>
      <c r="C109" s="102"/>
      <c r="D109" s="95"/>
      <c r="E109" s="104"/>
      <c r="F109" s="124"/>
      <c r="G109" s="118"/>
      <c r="H109" s="118"/>
      <c r="I109" s="146"/>
      <c r="J109" s="140"/>
      <c r="L109" s="142"/>
      <c r="M109" s="143"/>
      <c r="O109" s="133"/>
    </row>
    <row r="110" spans="1:16" x14ac:dyDescent="0.35">
      <c r="A110" s="99" t="s">
        <v>9</v>
      </c>
      <c r="B110" s="95"/>
      <c r="C110" s="102">
        <v>9632944256.333025</v>
      </c>
      <c r="D110" s="95"/>
      <c r="E110" s="104">
        <v>0.5682569223057039</v>
      </c>
      <c r="F110" s="124">
        <f>E110*F$116</f>
        <v>0</v>
      </c>
      <c r="G110" s="118">
        <f>F110/C110</f>
        <v>0</v>
      </c>
      <c r="H110" s="118">
        <f>G93+G110</f>
        <v>9.0666931945622984E-4</v>
      </c>
      <c r="I110" s="147">
        <v>2.5600000000000002E-3</v>
      </c>
      <c r="J110" s="140">
        <f>H110-I110</f>
        <v>-1.6533306805437704E-3</v>
      </c>
      <c r="K110" s="141">
        <f>IF(J110&lt;0,0,J110*C110)</f>
        <v>0</v>
      </c>
      <c r="L110" s="142">
        <f>IF(K110=0,F110,0)</f>
        <v>0</v>
      </c>
      <c r="M110" s="143">
        <f>IF(K110=0,IFERROR((L110/L$116),0),0)</f>
        <v>0</v>
      </c>
      <c r="N110" s="144">
        <f>IF(K110=0,(K$116*M110)/C110,0)</f>
        <v>0</v>
      </c>
      <c r="O110" s="133">
        <f>IF((H110+N110)&gt;I110,I110,(H110+N110))</f>
        <v>9.0666931945622984E-4</v>
      </c>
      <c r="P110" s="145">
        <f>N110*C110</f>
        <v>0</v>
      </c>
    </row>
    <row r="111" spans="1:16" x14ac:dyDescent="0.35">
      <c r="A111" s="99"/>
      <c r="B111" s="95"/>
      <c r="C111" s="102"/>
      <c r="D111" s="95"/>
      <c r="E111" s="104"/>
      <c r="F111" s="124"/>
      <c r="G111" s="118"/>
      <c r="H111" s="118"/>
      <c r="I111" s="146"/>
      <c r="J111" s="140"/>
      <c r="L111" s="142"/>
      <c r="M111" s="143"/>
      <c r="N111" s="144"/>
      <c r="O111" s="133"/>
    </row>
    <row r="112" spans="1:16" x14ac:dyDescent="0.35">
      <c r="A112" s="99" t="s">
        <v>8</v>
      </c>
      <c r="B112" s="95"/>
      <c r="C112" s="102">
        <v>329838223.38509023</v>
      </c>
      <c r="D112" s="95"/>
      <c r="E112" s="104">
        <v>1.8267010752827908E-2</v>
      </c>
      <c r="F112" s="124">
        <f>E112*F$116</f>
        <v>0</v>
      </c>
      <c r="G112" s="118">
        <f>F112/C112</f>
        <v>0</v>
      </c>
      <c r="H112" s="118">
        <f>G95+G112</f>
        <v>9.0666931945622984E-4</v>
      </c>
      <c r="I112" s="147">
        <v>3.4099999999999998E-3</v>
      </c>
      <c r="J112" s="140">
        <f>H112-I112</f>
        <v>-2.50333068054377E-3</v>
      </c>
      <c r="K112" s="141">
        <f>IF(J112&lt;0,0,J112*C112)</f>
        <v>0</v>
      </c>
      <c r="L112" s="142">
        <f>IF(K112=0,F112,0)</f>
        <v>0</v>
      </c>
      <c r="M112" s="143">
        <f>IF(K112=0,IFERROR((L112/L$116),0),0)</f>
        <v>0</v>
      </c>
      <c r="N112" s="144">
        <f>IF(K112=0,(K$116*M112)/C112,0)</f>
        <v>0</v>
      </c>
      <c r="O112" s="133">
        <f>IF((H112+N112)&gt;I112,I112,(H112+N112))</f>
        <v>9.0666931945622984E-4</v>
      </c>
      <c r="P112" s="145">
        <f>N112*C112</f>
        <v>0</v>
      </c>
    </row>
    <row r="113" spans="1:16" x14ac:dyDescent="0.35">
      <c r="A113" s="99"/>
      <c r="B113" s="95"/>
      <c r="C113" s="102"/>
      <c r="D113" s="95"/>
      <c r="E113" s="104"/>
      <c r="F113" s="124"/>
      <c r="G113" s="118"/>
      <c r="H113" s="118"/>
      <c r="I113" s="146"/>
      <c r="J113" s="140"/>
      <c r="L113" s="142"/>
      <c r="M113" s="143"/>
      <c r="N113" s="144"/>
      <c r="O113" s="133"/>
    </row>
    <row r="114" spans="1:16" x14ac:dyDescent="0.35">
      <c r="A114" s="99" t="s">
        <v>0</v>
      </c>
      <c r="B114" s="95"/>
      <c r="C114" s="82">
        <v>85800427</v>
      </c>
      <c r="D114" s="95"/>
      <c r="E114" s="134">
        <v>1.745866632312787E-5</v>
      </c>
      <c r="F114" s="135">
        <f>E114*F$116</f>
        <v>0</v>
      </c>
      <c r="G114" s="122">
        <f>F114/C114</f>
        <v>0</v>
      </c>
      <c r="H114" s="122">
        <f>G97+G114</f>
        <v>9.0666931945622994E-4</v>
      </c>
      <c r="I114" s="148">
        <v>3.79E-3</v>
      </c>
      <c r="J114" s="149">
        <f>H114-I114</f>
        <v>-2.8833306805437701E-3</v>
      </c>
      <c r="K114" s="150">
        <f>IF(J114&lt;0,0,J114*C114)</f>
        <v>0</v>
      </c>
      <c r="L114" s="135">
        <f>IF(K114=0,F114,0)</f>
        <v>0</v>
      </c>
      <c r="M114" s="151">
        <f>IF(K114=0,IFERROR((L114/L$116),0),0)</f>
        <v>0</v>
      </c>
      <c r="N114" s="152">
        <f>IF(K114=0,(K$116*M114)/C114,0)</f>
        <v>0</v>
      </c>
      <c r="O114" s="153">
        <f>IF((H114+N114)&gt;I114,I114,(H114+N114))</f>
        <v>9.0666931945622994E-4</v>
      </c>
      <c r="P114" s="154">
        <f>N114*C114</f>
        <v>0</v>
      </c>
    </row>
    <row r="115" spans="1:16" x14ac:dyDescent="0.35">
      <c r="A115" s="99"/>
      <c r="B115" s="95"/>
      <c r="C115" s="108"/>
      <c r="D115" s="95"/>
      <c r="E115" s="136"/>
      <c r="F115" s="124"/>
      <c r="G115" s="118"/>
      <c r="H115" s="118"/>
      <c r="I115" s="146"/>
      <c r="J115" s="140"/>
      <c r="L115" s="142"/>
      <c r="M115" s="143"/>
      <c r="O115" s="133"/>
    </row>
    <row r="116" spans="1:16" x14ac:dyDescent="0.35">
      <c r="A116" s="99" t="s">
        <v>7</v>
      </c>
      <c r="B116" s="95"/>
      <c r="C116" s="103">
        <f>SUM(C106:C114)</f>
        <v>18901918960.132343</v>
      </c>
      <c r="D116" s="95"/>
      <c r="E116" s="136">
        <f>SUM(E106:E114)</f>
        <v>0.99999999999999989</v>
      </c>
      <c r="F116" s="67">
        <v>0</v>
      </c>
      <c r="G116" s="118">
        <f>F116/C116</f>
        <v>0</v>
      </c>
      <c r="H116" s="118">
        <f>G99+G116</f>
        <v>9.0666931945622984E-4</v>
      </c>
      <c r="I116" s="148">
        <v>2.8300000000000001E-3</v>
      </c>
      <c r="J116" s="140">
        <f>H116-I116</f>
        <v>-1.9233306805437702E-3</v>
      </c>
      <c r="K116" s="141">
        <f>SUM(K106:K114)</f>
        <v>0</v>
      </c>
      <c r="L116" s="155">
        <f>SUM(L106:L114)</f>
        <v>0</v>
      </c>
      <c r="M116" s="143">
        <f>IF(K116=0,IFERROR((L116/L$116),0),0)</f>
        <v>0</v>
      </c>
      <c r="N116" s="144">
        <f>(K$116*M116)/C116</f>
        <v>0</v>
      </c>
      <c r="O116" s="133">
        <f>IF((H116+N116)&gt;I116,I116,(H116+N116))</f>
        <v>9.0666931945622984E-4</v>
      </c>
      <c r="P116" s="145">
        <f>SUM(P106:P114)</f>
        <v>0</v>
      </c>
    </row>
    <row r="117" spans="1:16" x14ac:dyDescent="0.35">
      <c r="A117" s="99"/>
      <c r="B117" s="95"/>
      <c r="C117" s="95"/>
      <c r="D117" s="95"/>
      <c r="E117" s="95"/>
      <c r="F117" s="124"/>
      <c r="G117" s="138"/>
    </row>
    <row r="118" spans="1:16" x14ac:dyDescent="0.35">
      <c r="A118" s="99"/>
      <c r="B118" s="95"/>
      <c r="C118" s="55"/>
      <c r="D118" s="95"/>
      <c r="E118" s="115"/>
      <c r="F118" s="115"/>
      <c r="G118" s="138"/>
    </row>
    <row r="119" spans="1:16" x14ac:dyDescent="0.35">
      <c r="A119" s="99"/>
      <c r="B119" s="95"/>
      <c r="C119" s="95"/>
      <c r="D119" s="95"/>
      <c r="E119" s="55"/>
      <c r="F119" s="67"/>
      <c r="G119" s="138"/>
    </row>
    <row r="120" spans="1:16" x14ac:dyDescent="0.35">
      <c r="A120" s="99"/>
      <c r="B120" s="95"/>
      <c r="C120" s="95"/>
      <c r="D120" s="95"/>
      <c r="E120" s="95"/>
      <c r="F120" s="95"/>
      <c r="G120" s="138"/>
    </row>
    <row r="121" spans="1:16" ht="15.75" customHeight="1" x14ac:dyDescent="0.35">
      <c r="A121" s="53" t="s">
        <v>14</v>
      </c>
      <c r="B121" s="95"/>
      <c r="C121" s="95"/>
      <c r="D121" s="95"/>
      <c r="E121" s="95"/>
      <c r="F121" s="95"/>
      <c r="G121" s="95"/>
    </row>
    <row r="122" spans="1:16" ht="52.5" x14ac:dyDescent="0.35">
      <c r="A122" s="99"/>
      <c r="B122" s="95"/>
      <c r="C122" s="59" t="str">
        <f>$C$17</f>
        <v>2019 GRC P2 Sales TY 2020
(kWh)</v>
      </c>
      <c r="D122" s="95"/>
      <c r="E122" s="59" t="s">
        <v>289</v>
      </c>
      <c r="F122" s="59" t="s">
        <v>13</v>
      </c>
      <c r="G122" s="59" t="s">
        <v>12</v>
      </c>
      <c r="H122" s="59" t="s">
        <v>11</v>
      </c>
    </row>
    <row r="123" spans="1:16" x14ac:dyDescent="0.35">
      <c r="A123" s="99"/>
      <c r="B123" s="95"/>
      <c r="C123" s="62"/>
      <c r="D123" s="95"/>
      <c r="E123" s="62"/>
      <c r="F123" s="62"/>
      <c r="G123" s="138"/>
    </row>
    <row r="124" spans="1:16" x14ac:dyDescent="0.35">
      <c r="A124" s="99"/>
      <c r="B124" s="95"/>
      <c r="C124" s="95"/>
      <c r="D124" s="95"/>
      <c r="E124" s="62"/>
      <c r="F124" s="62"/>
      <c r="G124" s="138"/>
    </row>
    <row r="125" spans="1:16" x14ac:dyDescent="0.35">
      <c r="A125" s="99" t="s">
        <v>10</v>
      </c>
      <c r="B125" s="95"/>
      <c r="C125" s="102">
        <v>6652988141.1181479</v>
      </c>
      <c r="D125" s="95"/>
      <c r="E125" s="104">
        <v>0.25849481349986364</v>
      </c>
      <c r="F125" s="124">
        <f>E125*F$135</f>
        <v>26893295.556155048</v>
      </c>
      <c r="G125" s="118">
        <f>F125/C125</f>
        <v>4.0422882148163832E-3</v>
      </c>
      <c r="H125" s="118">
        <f>G125</f>
        <v>4.0422882148163832E-3</v>
      </c>
    </row>
    <row r="126" spans="1:16" x14ac:dyDescent="0.35">
      <c r="A126" s="99"/>
      <c r="B126" s="95"/>
      <c r="C126" s="102"/>
      <c r="D126" s="95"/>
      <c r="E126" s="104"/>
      <c r="F126" s="124"/>
      <c r="G126" s="118"/>
      <c r="H126" s="118"/>
    </row>
    <row r="127" spans="1:16" x14ac:dyDescent="0.35">
      <c r="A127" s="99" t="s">
        <v>2</v>
      </c>
      <c r="B127" s="95"/>
      <c r="C127" s="102">
        <v>2200347912.2960796</v>
      </c>
      <c r="D127" s="95"/>
      <c r="E127" s="104">
        <v>0.15496379477528138</v>
      </c>
      <c r="F127" s="124">
        <f>E127*F$135</f>
        <v>16122130.564129079</v>
      </c>
      <c r="G127" s="118">
        <f>F127/C127</f>
        <v>7.3270824463870874E-3</v>
      </c>
      <c r="H127" s="118">
        <f>G127</f>
        <v>7.3270824463870874E-3</v>
      </c>
    </row>
    <row r="128" spans="1:16" x14ac:dyDescent="0.35">
      <c r="A128" s="99"/>
      <c r="B128" s="95"/>
      <c r="C128" s="102"/>
      <c r="D128" s="95"/>
      <c r="E128" s="104"/>
      <c r="F128" s="124"/>
      <c r="G128" s="118"/>
      <c r="H128" s="118"/>
    </row>
    <row r="129" spans="1:8" x14ac:dyDescent="0.35">
      <c r="A129" s="99" t="s">
        <v>9</v>
      </c>
      <c r="B129" s="95"/>
      <c r="C129" s="102">
        <v>9632944256.333025</v>
      </c>
      <c r="D129" s="95"/>
      <c r="E129" s="104">
        <v>0.5682569223057039</v>
      </c>
      <c r="F129" s="124">
        <f>E129*F$135</f>
        <v>59120340.390916169</v>
      </c>
      <c r="G129" s="118">
        <f>F129/C129</f>
        <v>6.1373074335033598E-3</v>
      </c>
      <c r="H129" s="118">
        <f>G129</f>
        <v>6.1373074335033598E-3</v>
      </c>
    </row>
    <row r="130" spans="1:8" x14ac:dyDescent="0.35">
      <c r="A130" s="99"/>
      <c r="B130" s="95"/>
      <c r="C130" s="102"/>
      <c r="D130" s="95"/>
      <c r="E130" s="104"/>
      <c r="F130" s="124"/>
      <c r="G130" s="118"/>
      <c r="H130" s="118"/>
    </row>
    <row r="131" spans="1:8" x14ac:dyDescent="0.35">
      <c r="A131" s="99" t="s">
        <v>8</v>
      </c>
      <c r="B131" s="95"/>
      <c r="C131" s="102">
        <v>329838223.38509023</v>
      </c>
      <c r="D131" s="95"/>
      <c r="E131" s="104">
        <v>1.8267010752827908E-2</v>
      </c>
      <c r="F131" s="124">
        <f>E131*F$135</f>
        <v>1900464.1232522153</v>
      </c>
      <c r="G131" s="118">
        <f>F131/C131</f>
        <v>5.7618068147104948E-3</v>
      </c>
      <c r="H131" s="118">
        <f>G131</f>
        <v>5.7618068147104948E-3</v>
      </c>
    </row>
    <row r="132" spans="1:8" x14ac:dyDescent="0.35">
      <c r="A132" s="99"/>
      <c r="B132" s="95"/>
      <c r="C132" s="102"/>
      <c r="D132" s="95"/>
      <c r="E132" s="104"/>
      <c r="F132" s="124"/>
      <c r="G132" s="118"/>
      <c r="H132" s="118"/>
    </row>
    <row r="133" spans="1:8" x14ac:dyDescent="0.35">
      <c r="A133" s="99" t="s">
        <v>0</v>
      </c>
      <c r="B133" s="95"/>
      <c r="C133" s="82">
        <v>85800427</v>
      </c>
      <c r="D133" s="95"/>
      <c r="E133" s="134">
        <v>1.745866632312787E-5</v>
      </c>
      <c r="F133" s="135">
        <f>E133*F$135</f>
        <v>1816.3655474828945</v>
      </c>
      <c r="G133" s="122">
        <f>F133/C133</f>
        <v>2.1169656270858586E-5</v>
      </c>
      <c r="H133" s="122">
        <f>G133</f>
        <v>2.1169656270858586E-5</v>
      </c>
    </row>
    <row r="134" spans="1:8" x14ac:dyDescent="0.35">
      <c r="A134" s="99"/>
      <c r="B134" s="95"/>
      <c r="C134" s="108"/>
      <c r="D134" s="95"/>
      <c r="E134" s="136"/>
      <c r="F134" s="124"/>
      <c r="G134" s="118"/>
      <c r="H134" s="118"/>
    </row>
    <row r="135" spans="1:8" x14ac:dyDescent="0.35">
      <c r="A135" s="99" t="s">
        <v>7</v>
      </c>
      <c r="B135" s="95"/>
      <c r="C135" s="103">
        <f>SUM(C125:C133)</f>
        <v>18901918960.132343</v>
      </c>
      <c r="D135" s="95"/>
      <c r="E135" s="136">
        <f>SUM(E125:E133)</f>
        <v>0.99999999999999989</v>
      </c>
      <c r="F135" s="67">
        <v>104038047</v>
      </c>
      <c r="G135" s="118">
        <f>F135/C135</f>
        <v>5.5040997276221294E-3</v>
      </c>
      <c r="H135" s="118">
        <f>G135</f>
        <v>5.5040997276221294E-3</v>
      </c>
    </row>
    <row r="136" spans="1:8" x14ac:dyDescent="0.35">
      <c r="A136" s="99"/>
      <c r="B136" s="95"/>
      <c r="C136" s="95"/>
      <c r="D136" s="95"/>
      <c r="E136" s="95"/>
      <c r="F136" s="124"/>
      <c r="G136" s="95"/>
    </row>
    <row r="137" spans="1:8" x14ac:dyDescent="0.35">
      <c r="A137" s="99"/>
      <c r="B137" s="95"/>
      <c r="C137" s="55"/>
      <c r="D137" s="95"/>
      <c r="E137" s="156">
        <v>0</v>
      </c>
      <c r="F137" s="115">
        <f>SUM(F125:F133)-F135</f>
        <v>0</v>
      </c>
      <c r="G137" s="95"/>
    </row>
    <row r="138" spans="1:8" x14ac:dyDescent="0.35">
      <c r="A138" s="99"/>
      <c r="B138" s="95"/>
      <c r="C138" s="95"/>
      <c r="D138" s="95"/>
      <c r="E138" s="95"/>
      <c r="F138" s="124"/>
      <c r="G138" s="95"/>
    </row>
    <row r="139" spans="1:8" x14ac:dyDescent="0.35">
      <c r="A139" s="99"/>
      <c r="B139" s="95"/>
      <c r="C139" s="95"/>
      <c r="D139" s="95"/>
      <c r="G139" s="95"/>
    </row>
    <row r="140" spans="1:8" x14ac:dyDescent="0.35">
      <c r="A140" s="99"/>
      <c r="B140" s="95"/>
      <c r="C140" s="95"/>
      <c r="D140" s="95"/>
      <c r="E140" s="95"/>
      <c r="F140" s="157"/>
      <c r="G140" s="95"/>
    </row>
    <row r="141" spans="1:8" x14ac:dyDescent="0.35">
      <c r="A141" s="99" t="s">
        <v>6</v>
      </c>
      <c r="B141" s="95" t="s">
        <v>5</v>
      </c>
      <c r="C141" s="95"/>
      <c r="D141" s="95"/>
      <c r="E141" s="95"/>
      <c r="F141" s="95"/>
      <c r="G141" s="95"/>
    </row>
    <row r="142" spans="1:8" x14ac:dyDescent="0.35">
      <c r="A142" s="99"/>
      <c r="B142" s="95" t="s">
        <v>4</v>
      </c>
      <c r="C142" s="95"/>
      <c r="D142" s="95"/>
      <c r="E142" s="95"/>
      <c r="F142" s="95"/>
      <c r="G142" s="95"/>
    </row>
    <row r="143" spans="1:8" x14ac:dyDescent="0.35">
      <c r="A143" s="68"/>
      <c r="B143" s="55"/>
      <c r="C143" s="95"/>
      <c r="D143" s="95"/>
      <c r="E143" s="95"/>
      <c r="F143" s="95"/>
      <c r="G143" s="95"/>
    </row>
    <row r="144" spans="1:8" ht="15.5" x14ac:dyDescent="0.35">
      <c r="A144" s="183" t="s">
        <v>177</v>
      </c>
      <c r="B144" s="183"/>
      <c r="C144" s="183"/>
      <c r="D144" s="183"/>
      <c r="E144" s="183"/>
      <c r="F144" s="183"/>
      <c r="G144" s="183"/>
    </row>
    <row r="145" spans="1:9" x14ac:dyDescent="0.35">
      <c r="A145" s="95"/>
      <c r="B145" s="95"/>
      <c r="C145" s="95"/>
      <c r="D145" s="95"/>
      <c r="E145" s="95"/>
      <c r="F145" s="95"/>
      <c r="G145" s="95"/>
    </row>
    <row r="146" spans="1:9" ht="15.75" customHeight="1" x14ac:dyDescent="0.35">
      <c r="A146" s="53" t="s">
        <v>178</v>
      </c>
      <c r="B146" s="95"/>
      <c r="C146" s="95"/>
      <c r="D146" s="95"/>
      <c r="E146" s="95"/>
      <c r="F146" s="95"/>
      <c r="G146" s="95"/>
    </row>
    <row r="148" spans="1:9" x14ac:dyDescent="0.35">
      <c r="A148" s="55" t="s">
        <v>52</v>
      </c>
      <c r="B148" s="95"/>
      <c r="C148" s="127">
        <v>2175066</v>
      </c>
    </row>
    <row r="149" spans="1:9" x14ac:dyDescent="0.35">
      <c r="A149" s="55" t="s">
        <v>179</v>
      </c>
      <c r="B149" s="95"/>
      <c r="C149" s="128">
        <f>SUM(C148:C148)</f>
        <v>2175066</v>
      </c>
    </row>
    <row r="151" spans="1:9" ht="39.5" x14ac:dyDescent="0.35">
      <c r="A151" s="99"/>
      <c r="B151" s="91"/>
      <c r="C151" s="59" t="str">
        <f>C122</f>
        <v>2019 GRC P2 Sales TY 2020
(kWh)</v>
      </c>
      <c r="D151" s="91"/>
      <c r="E151" s="59" t="s">
        <v>49</v>
      </c>
      <c r="F151" s="59" t="s">
        <v>48</v>
      </c>
      <c r="G151" s="59" t="s">
        <v>289</v>
      </c>
    </row>
    <row r="152" spans="1:9" ht="15.5" x14ac:dyDescent="0.35">
      <c r="A152" s="99"/>
      <c r="B152" s="91"/>
      <c r="C152" s="95"/>
      <c r="D152" s="91"/>
      <c r="E152" s="95"/>
      <c r="F152" s="95"/>
      <c r="G152" s="95"/>
    </row>
    <row r="153" spans="1:9" ht="15.5" x14ac:dyDescent="0.35">
      <c r="A153" s="99" t="s">
        <v>10</v>
      </c>
      <c r="B153" s="91"/>
      <c r="C153" s="102">
        <v>6652988141.1181479</v>
      </c>
      <c r="D153" s="91"/>
      <c r="E153" s="102">
        <v>1016702651.3608736</v>
      </c>
      <c r="F153" s="103">
        <f>C153-E153</f>
        <v>5636285489.7572746</v>
      </c>
      <c r="G153" s="104">
        <f>F153/$F$163</f>
        <v>0.31695711820870948</v>
      </c>
      <c r="I153" s="142"/>
    </row>
    <row r="154" spans="1:9" ht="15.5" x14ac:dyDescent="0.35">
      <c r="A154" s="99"/>
      <c r="B154" s="91"/>
      <c r="C154" s="102"/>
      <c r="D154" s="91"/>
      <c r="E154" s="105"/>
      <c r="F154" s="103"/>
      <c r="G154" s="104"/>
    </row>
    <row r="155" spans="1:9" ht="15.5" x14ac:dyDescent="0.35">
      <c r="A155" s="99" t="s">
        <v>2</v>
      </c>
      <c r="B155" s="91"/>
      <c r="C155" s="102">
        <v>2200347912.2960796</v>
      </c>
      <c r="D155" s="91"/>
      <c r="E155" s="102">
        <v>2271745.422114118</v>
      </c>
      <c r="F155" s="103">
        <f>C155-E155</f>
        <v>2198076166.8739657</v>
      </c>
      <c r="G155" s="104">
        <f t="shared" ref="G155:G159" si="0">F155/$F$163</f>
        <v>0.12360904867606727</v>
      </c>
    </row>
    <row r="156" spans="1:9" ht="15.5" x14ac:dyDescent="0.35">
      <c r="A156" s="99"/>
      <c r="B156" s="91"/>
      <c r="C156" s="102"/>
      <c r="D156" s="91"/>
      <c r="E156" s="102"/>
      <c r="F156" s="103"/>
      <c r="G156" s="104"/>
    </row>
    <row r="157" spans="1:9" ht="15.5" x14ac:dyDescent="0.35">
      <c r="A157" s="99" t="s">
        <v>9</v>
      </c>
      <c r="B157" s="91"/>
      <c r="C157" s="102">
        <v>9632944256.333025</v>
      </c>
      <c r="D157" s="91"/>
      <c r="E157" s="102">
        <v>14658222.763086554</v>
      </c>
      <c r="F157" s="103">
        <f>C157-E157</f>
        <v>9618286033.5699387</v>
      </c>
      <c r="G157" s="104">
        <f t="shared" si="0"/>
        <v>0.54088534529479504</v>
      </c>
    </row>
    <row r="158" spans="1:9" ht="15.5" x14ac:dyDescent="0.35">
      <c r="A158" s="99"/>
      <c r="B158" s="91"/>
      <c r="C158" s="102"/>
      <c r="D158" s="91"/>
      <c r="E158" s="103"/>
      <c r="F158" s="103"/>
      <c r="G158" s="104"/>
    </row>
    <row r="159" spans="1:9" ht="15.5" x14ac:dyDescent="0.35">
      <c r="A159" s="99" t="s">
        <v>8</v>
      </c>
      <c r="B159" s="91"/>
      <c r="C159" s="102">
        <v>329838223.38509023</v>
      </c>
      <c r="D159" s="91"/>
      <c r="E159" s="108"/>
      <c r="F159" s="103">
        <f>C159-E159</f>
        <v>329838223.38509023</v>
      </c>
      <c r="G159" s="104">
        <f t="shared" si="0"/>
        <v>1.8548487820428158E-2</v>
      </c>
    </row>
    <row r="160" spans="1:9" ht="15.5" x14ac:dyDescent="0.35">
      <c r="A160" s="95"/>
      <c r="B160" s="91"/>
      <c r="C160" s="102"/>
      <c r="D160" s="91"/>
      <c r="E160" s="108"/>
      <c r="F160" s="103"/>
      <c r="G160" s="104"/>
    </row>
    <row r="161" spans="1:7" ht="15.5" x14ac:dyDescent="0.35">
      <c r="A161" s="95" t="s">
        <v>0</v>
      </c>
      <c r="B161" s="91"/>
      <c r="C161" s="82">
        <v>85800427</v>
      </c>
      <c r="D161" s="91"/>
      <c r="E161" s="158"/>
      <c r="F161" s="158">
        <v>0</v>
      </c>
      <c r="G161" s="104">
        <f>F161/$F$163</f>
        <v>0</v>
      </c>
    </row>
    <row r="162" spans="1:7" ht="15.5" x14ac:dyDescent="0.35">
      <c r="A162" s="95"/>
      <c r="B162" s="91"/>
      <c r="C162" s="95"/>
      <c r="D162" s="91"/>
      <c r="E162" s="95"/>
      <c r="F162" s="95"/>
      <c r="G162" s="159"/>
    </row>
    <row r="163" spans="1:7" ht="15.5" x14ac:dyDescent="0.35">
      <c r="A163" s="95" t="s">
        <v>34</v>
      </c>
      <c r="B163" s="91"/>
      <c r="C163" s="103">
        <f>SUM(C153:C161)</f>
        <v>18901918960.132343</v>
      </c>
      <c r="D163" s="113" t="s">
        <v>33</v>
      </c>
      <c r="E163" s="103">
        <f>SUM(E153:E161)</f>
        <v>1033632619.5460743</v>
      </c>
      <c r="F163" s="103">
        <f>SUM(F153:F161)</f>
        <v>17782485913.586269</v>
      </c>
      <c r="G163" s="159">
        <f>SUM(G153:G161)</f>
        <v>0.99999999999999989</v>
      </c>
    </row>
    <row r="164" spans="1:7" ht="15.5" x14ac:dyDescent="0.35">
      <c r="A164" s="95"/>
      <c r="B164" s="91"/>
      <c r="C164" s="95"/>
      <c r="D164" s="91"/>
      <c r="E164" s="95"/>
      <c r="F164" s="123"/>
      <c r="G164" s="124"/>
    </row>
    <row r="165" spans="1:7" ht="15.5" x14ac:dyDescent="0.35">
      <c r="A165" s="95"/>
      <c r="B165" s="91"/>
      <c r="C165" s="95"/>
      <c r="D165" s="91"/>
      <c r="E165" s="95"/>
      <c r="F165" s="67"/>
      <c r="G165" s="156"/>
    </row>
    <row r="166" spans="1:7" ht="15.5" x14ac:dyDescent="0.35">
      <c r="A166" s="53" t="s">
        <v>180</v>
      </c>
      <c r="B166" s="91"/>
      <c r="C166" s="95"/>
      <c r="D166" s="91"/>
      <c r="E166" s="95"/>
      <c r="F166" s="95"/>
      <c r="G166" s="95"/>
    </row>
    <row r="167" spans="1:7" ht="39.5" x14ac:dyDescent="0.35">
      <c r="A167" s="95"/>
      <c r="B167" s="95"/>
      <c r="C167" s="59" t="s">
        <v>181</v>
      </c>
      <c r="D167" s="60"/>
      <c r="E167" s="59" t="s">
        <v>182</v>
      </c>
      <c r="F167" s="95"/>
      <c r="G167" s="95"/>
    </row>
    <row r="168" spans="1:7" x14ac:dyDescent="0.35">
      <c r="A168" s="95"/>
      <c r="B168" s="95"/>
      <c r="C168" s="113"/>
      <c r="D168" s="113"/>
      <c r="E168" s="113"/>
      <c r="F168" s="95"/>
      <c r="G168" s="116"/>
    </row>
    <row r="169" spans="1:7" x14ac:dyDescent="0.35">
      <c r="A169" s="95" t="s">
        <v>10</v>
      </c>
      <c r="B169" s="95"/>
      <c r="C169" s="130">
        <f>$C$149*G153</f>
        <v>689402.65127374488</v>
      </c>
      <c r="D169" s="113"/>
      <c r="E169" s="118">
        <f>C169/F153</f>
        <v>1.22315069477333E-4</v>
      </c>
      <c r="F169" s="95"/>
      <c r="G169" s="119"/>
    </row>
    <row r="170" spans="1:7" x14ac:dyDescent="0.35">
      <c r="A170" s="95"/>
      <c r="B170" s="95"/>
      <c r="C170" s="117"/>
      <c r="D170" s="113"/>
      <c r="E170" s="118"/>
      <c r="F170" s="95"/>
      <c r="G170" s="95"/>
    </row>
    <row r="171" spans="1:7" x14ac:dyDescent="0.35">
      <c r="A171" s="95" t="s">
        <v>2</v>
      </c>
      <c r="B171" s="95"/>
      <c r="C171" s="117">
        <f>$C$149*G155</f>
        <v>268857.83906765893</v>
      </c>
      <c r="D171" s="113"/>
      <c r="E171" s="118">
        <f>C171/F155</f>
        <v>1.22315069477333E-4</v>
      </c>
      <c r="F171" s="95"/>
      <c r="G171" s="95"/>
    </row>
    <row r="172" spans="1:7" x14ac:dyDescent="0.35">
      <c r="A172" s="95"/>
      <c r="B172" s="95"/>
      <c r="C172" s="117"/>
      <c r="D172" s="113"/>
      <c r="E172" s="118"/>
      <c r="F172" s="95"/>
      <c r="G172" s="95"/>
    </row>
    <row r="173" spans="1:7" x14ac:dyDescent="0.35">
      <c r="A173" s="95" t="s">
        <v>9</v>
      </c>
      <c r="B173" s="95"/>
      <c r="C173" s="117">
        <f>$C$149*G157</f>
        <v>1176461.3244489687</v>
      </c>
      <c r="D173" s="113"/>
      <c r="E173" s="118">
        <f>C173/F157</f>
        <v>1.22315069477333E-4</v>
      </c>
      <c r="F173" s="95"/>
      <c r="G173" s="95"/>
    </row>
    <row r="174" spans="1:7" x14ac:dyDescent="0.35">
      <c r="A174" s="95"/>
      <c r="B174" s="95"/>
      <c r="C174" s="117"/>
      <c r="D174" s="113"/>
      <c r="E174" s="118"/>
      <c r="F174" s="95"/>
      <c r="G174" s="95"/>
    </row>
    <row r="175" spans="1:7" x14ac:dyDescent="0.35">
      <c r="A175" s="95" t="s">
        <v>8</v>
      </c>
      <c r="B175" s="95"/>
      <c r="C175" s="121">
        <f>$C$149*G159</f>
        <v>40344.185209627394</v>
      </c>
      <c r="D175" s="113"/>
      <c r="E175" s="122">
        <f>C175/F159</f>
        <v>1.22315069477333E-4</v>
      </c>
      <c r="F175" s="95"/>
      <c r="G175" s="95"/>
    </row>
    <row r="176" spans="1:7" x14ac:dyDescent="0.35">
      <c r="A176" s="95"/>
      <c r="B176" s="95"/>
      <c r="C176" s="117"/>
      <c r="D176" s="113"/>
      <c r="E176" s="118"/>
      <c r="F176" s="95"/>
      <c r="G176" s="95"/>
    </row>
    <row r="177" spans="1:10" x14ac:dyDescent="0.35">
      <c r="A177" s="99" t="s">
        <v>29</v>
      </c>
      <c r="B177" s="95"/>
      <c r="C177" s="117">
        <f>SUM(C169:C176)</f>
        <v>2175066</v>
      </c>
      <c r="D177" s="113"/>
      <c r="E177" s="61">
        <f>C177/F163</f>
        <v>1.22315069477333E-4</v>
      </c>
      <c r="F177" s="95"/>
      <c r="G177" s="95"/>
    </row>
    <row r="178" spans="1:10" ht="15.5" x14ac:dyDescent="0.35">
      <c r="A178" s="95"/>
      <c r="B178" s="91"/>
      <c r="C178" s="95"/>
      <c r="D178" s="91"/>
      <c r="E178" s="95"/>
      <c r="F178" s="123"/>
      <c r="G178" s="124"/>
    </row>
    <row r="179" spans="1:10" x14ac:dyDescent="0.35">
      <c r="A179" s="55"/>
      <c r="B179" s="55"/>
      <c r="C179" s="115"/>
      <c r="D179" s="95"/>
      <c r="E179" s="95"/>
      <c r="F179" s="95"/>
      <c r="G179" s="95"/>
    </row>
    <row r="180" spans="1:10" x14ac:dyDescent="0.35">
      <c r="A180" s="55"/>
      <c r="C180" s="67"/>
    </row>
    <row r="181" spans="1:10" ht="15.5" x14ac:dyDescent="0.35">
      <c r="A181" s="69" t="s">
        <v>183</v>
      </c>
    </row>
    <row r="182" spans="1:10" x14ac:dyDescent="0.35">
      <c r="A182" s="69"/>
    </row>
    <row r="183" spans="1:10" x14ac:dyDescent="0.35">
      <c r="A183" s="69"/>
    </row>
    <row r="184" spans="1:10" ht="15.5" x14ac:dyDescent="0.35">
      <c r="A184" s="183" t="s">
        <v>184</v>
      </c>
      <c r="B184" s="183"/>
      <c r="C184" s="183"/>
      <c r="D184" s="183"/>
      <c r="E184" s="183"/>
      <c r="F184" s="183"/>
      <c r="G184" s="183"/>
    </row>
    <row r="185" spans="1:10" ht="15.5" x14ac:dyDescent="0.35">
      <c r="A185" s="91"/>
      <c r="B185" s="91"/>
      <c r="C185" s="91"/>
      <c r="D185" s="91"/>
      <c r="E185" s="91"/>
      <c r="F185" s="91"/>
      <c r="G185" s="91"/>
      <c r="I185" s="54"/>
      <c r="J185" s="54"/>
    </row>
    <row r="186" spans="1:10" ht="15.5" x14ac:dyDescent="0.35">
      <c r="A186" s="53" t="s">
        <v>185</v>
      </c>
      <c r="B186" s="91"/>
      <c r="C186" s="95"/>
      <c r="D186" s="91"/>
      <c r="E186" s="95"/>
      <c r="F186" s="95"/>
      <c r="G186" s="95"/>
      <c r="H186" s="54"/>
      <c r="I186" s="54"/>
      <c r="J186" s="54"/>
    </row>
    <row r="187" spans="1:10" ht="15.5" x14ac:dyDescent="0.35">
      <c r="A187" s="95"/>
      <c r="B187" s="91"/>
      <c r="C187" s="95"/>
      <c r="D187" s="91"/>
      <c r="E187" s="95"/>
      <c r="F187" s="95"/>
      <c r="G187" s="95"/>
      <c r="H187" s="54"/>
      <c r="I187" s="54"/>
      <c r="J187" s="54"/>
    </row>
    <row r="188" spans="1:10" ht="15.5" x14ac:dyDescent="0.35">
      <c r="A188" s="55" t="s">
        <v>38</v>
      </c>
      <c r="B188" s="91"/>
      <c r="C188" s="96">
        <v>2002000</v>
      </c>
      <c r="D188" s="91"/>
      <c r="E188" s="55"/>
      <c r="F188" s="95"/>
      <c r="G188" s="56"/>
      <c r="H188" s="91"/>
      <c r="I188" s="54"/>
      <c r="J188" s="54"/>
    </row>
    <row r="189" spans="1:10" ht="15.5" x14ac:dyDescent="0.35">
      <c r="A189" s="57" t="s">
        <v>37</v>
      </c>
      <c r="B189" s="91"/>
      <c r="C189" s="98">
        <v>0</v>
      </c>
      <c r="D189" s="91"/>
      <c r="E189" s="55"/>
      <c r="F189" s="95"/>
      <c r="G189" s="58"/>
      <c r="H189" s="91"/>
      <c r="I189" s="54"/>
      <c r="J189" s="54"/>
    </row>
    <row r="190" spans="1:10" ht="15.5" x14ac:dyDescent="0.35">
      <c r="A190" s="99" t="s">
        <v>186</v>
      </c>
      <c r="B190" s="91"/>
      <c r="C190" s="100">
        <f>SUM(C188:C189)</f>
        <v>2002000</v>
      </c>
      <c r="D190" s="91"/>
      <c r="E190" s="95"/>
      <c r="F190" s="95"/>
      <c r="G190" s="95"/>
      <c r="H190" s="54"/>
      <c r="I190" s="54"/>
      <c r="J190" s="54"/>
    </row>
    <row r="191" spans="1:10" ht="15.5" x14ac:dyDescent="0.35">
      <c r="A191" s="99"/>
      <c r="B191" s="91"/>
      <c r="C191" s="95"/>
      <c r="D191" s="91"/>
      <c r="E191" s="95"/>
      <c r="F191" s="95"/>
      <c r="G191" s="95"/>
      <c r="H191" s="54"/>
      <c r="I191" s="54"/>
      <c r="J191" s="54"/>
    </row>
    <row r="192" spans="1:10" ht="15.5" x14ac:dyDescent="0.35">
      <c r="A192" s="55"/>
      <c r="B192" s="91"/>
      <c r="C192" s="101"/>
      <c r="D192" s="91"/>
      <c r="E192" s="95"/>
      <c r="F192" s="95"/>
      <c r="G192" s="95"/>
      <c r="H192" s="54"/>
      <c r="I192" s="54"/>
      <c r="J192" s="54"/>
    </row>
    <row r="193" spans="1:17" ht="15.5" x14ac:dyDescent="0.35">
      <c r="A193" s="53"/>
      <c r="B193" s="91"/>
      <c r="C193" s="95"/>
      <c r="D193" s="91"/>
      <c r="E193" s="95"/>
      <c r="F193" s="95"/>
      <c r="G193" s="95"/>
      <c r="H193" s="54"/>
      <c r="I193" s="54"/>
      <c r="J193" s="54"/>
    </row>
    <row r="194" spans="1:17" ht="15.5" x14ac:dyDescent="0.35">
      <c r="A194" s="53" t="s">
        <v>187</v>
      </c>
      <c r="B194" s="91"/>
      <c r="C194" s="95"/>
      <c r="D194" s="91"/>
      <c r="E194" s="95"/>
      <c r="F194" s="95"/>
      <c r="G194" s="95"/>
      <c r="H194" s="54"/>
      <c r="I194" s="54"/>
      <c r="J194" s="54"/>
    </row>
    <row r="195" spans="1:17" ht="39.5" x14ac:dyDescent="0.35">
      <c r="A195" s="99"/>
      <c r="B195" s="91"/>
      <c r="C195" s="59" t="str">
        <f>$C$17</f>
        <v>2019 GRC P2 Sales TY 2020
(kWh)</v>
      </c>
      <c r="D195" s="91"/>
      <c r="E195" s="59" t="s">
        <v>188</v>
      </c>
      <c r="F195" s="59" t="s">
        <v>189</v>
      </c>
      <c r="G195" s="59" t="s">
        <v>289</v>
      </c>
      <c r="H195" s="54"/>
      <c r="I195" s="59" t="s">
        <v>190</v>
      </c>
      <c r="J195" s="59" t="s">
        <v>191</v>
      </c>
      <c r="K195" s="59" t="s">
        <v>192</v>
      </c>
    </row>
    <row r="196" spans="1:17" ht="12" customHeight="1" x14ac:dyDescent="0.35">
      <c r="A196" s="99"/>
      <c r="B196" s="91"/>
      <c r="C196" s="95"/>
      <c r="D196" s="91"/>
      <c r="E196" s="95"/>
      <c r="F196" s="95"/>
      <c r="G196" s="95"/>
      <c r="H196" s="54"/>
      <c r="I196" s="54"/>
      <c r="J196" s="54"/>
    </row>
    <row r="197" spans="1:17" ht="12" customHeight="1" x14ac:dyDescent="0.35">
      <c r="A197" s="99" t="s">
        <v>10</v>
      </c>
      <c r="B197" s="91"/>
      <c r="C197" s="102">
        <v>6652988141.1181479</v>
      </c>
      <c r="D197" s="91"/>
      <c r="E197" s="102">
        <v>1057799023.5315566</v>
      </c>
      <c r="F197" s="103">
        <f>C197-E197</f>
        <v>5595189117.5865917</v>
      </c>
      <c r="G197" s="104">
        <v>0.41548062462667729</v>
      </c>
      <c r="H197" s="17"/>
      <c r="I197" s="54"/>
    </row>
    <row r="198" spans="1:17" ht="12" customHeight="1" x14ac:dyDescent="0.35">
      <c r="A198" s="99"/>
      <c r="B198" s="91"/>
      <c r="C198" s="102"/>
      <c r="D198" s="91"/>
      <c r="E198" s="105"/>
      <c r="F198" s="103"/>
      <c r="G198" s="104"/>
      <c r="H198" s="18"/>
      <c r="I198" s="19"/>
    </row>
    <row r="199" spans="1:17" ht="12" customHeight="1" x14ac:dyDescent="0.35">
      <c r="A199" s="99" t="s">
        <v>2</v>
      </c>
      <c r="B199" s="91"/>
      <c r="C199" s="102">
        <v>2200347912.2960796</v>
      </c>
      <c r="D199" s="91"/>
      <c r="E199" s="102">
        <v>2271745.422114118</v>
      </c>
      <c r="F199" s="103">
        <f>C199-E199</f>
        <v>2198076166.8739657</v>
      </c>
      <c r="G199" s="104">
        <v>0.11372317853934658</v>
      </c>
      <c r="H199" s="17"/>
      <c r="I199" s="18"/>
    </row>
    <row r="200" spans="1:17" ht="12" customHeight="1" x14ac:dyDescent="0.35">
      <c r="A200" s="99"/>
      <c r="B200" s="91"/>
      <c r="C200" s="102"/>
      <c r="D200" s="91"/>
      <c r="E200" s="102"/>
      <c r="F200" s="103"/>
      <c r="G200" s="104"/>
      <c r="H200" s="17"/>
      <c r="I200" s="18"/>
    </row>
    <row r="201" spans="1:17" ht="12" customHeight="1" x14ac:dyDescent="0.35">
      <c r="A201" s="99" t="s">
        <v>9</v>
      </c>
      <c r="B201" s="91"/>
      <c r="C201" s="102">
        <v>9632944256.333025</v>
      </c>
      <c r="D201" s="91"/>
      <c r="E201" s="102">
        <v>14658222.763086554</v>
      </c>
      <c r="F201" s="103" t="s">
        <v>193</v>
      </c>
      <c r="G201" s="104">
        <v>0.44959881335524515</v>
      </c>
      <c r="H201" s="17"/>
      <c r="I201" s="18">
        <v>25689573.606172942</v>
      </c>
      <c r="J201" s="142">
        <v>4857865.0255947243</v>
      </c>
      <c r="K201" s="142">
        <v>7558813231.9372101</v>
      </c>
      <c r="P201" s="141"/>
      <c r="Q201" s="142"/>
    </row>
    <row r="202" spans="1:17" ht="12" customHeight="1" x14ac:dyDescent="0.35">
      <c r="A202" s="99"/>
      <c r="B202" s="91"/>
      <c r="C202" s="102"/>
      <c r="D202" s="91"/>
      <c r="E202" s="103"/>
      <c r="F202" s="103"/>
      <c r="G202" s="104"/>
      <c r="H202" s="20"/>
      <c r="I202" s="19"/>
    </row>
    <row r="203" spans="1:17" ht="12" customHeight="1" x14ac:dyDescent="0.35">
      <c r="A203" s="99" t="s">
        <v>8</v>
      </c>
      <c r="B203" s="91"/>
      <c r="C203" s="102">
        <v>329838223.38509023</v>
      </c>
      <c r="D203" s="91"/>
      <c r="E203" s="108"/>
      <c r="F203" s="103">
        <f>C203</f>
        <v>329838223.38509023</v>
      </c>
      <c r="G203" s="104">
        <v>1.5913655348609279E-2</v>
      </c>
      <c r="H203" s="17"/>
      <c r="I203" s="18"/>
      <c r="K203" s="142"/>
    </row>
    <row r="204" spans="1:17" ht="12" customHeight="1" x14ac:dyDescent="0.35">
      <c r="A204" s="95"/>
      <c r="B204" s="91"/>
      <c r="C204" s="102"/>
      <c r="D204" s="91"/>
      <c r="E204" s="108"/>
      <c r="F204" s="103"/>
      <c r="G204" s="109"/>
      <c r="H204" s="20"/>
      <c r="I204" s="18"/>
    </row>
    <row r="205" spans="1:17" ht="12" customHeight="1" x14ac:dyDescent="0.35">
      <c r="A205" s="95" t="s">
        <v>0</v>
      </c>
      <c r="B205" s="91"/>
      <c r="C205" s="82">
        <v>85800427</v>
      </c>
      <c r="D205" s="91"/>
      <c r="E205" s="158"/>
      <c r="F205" s="163">
        <f>C205</f>
        <v>85800427</v>
      </c>
      <c r="G205" s="134">
        <v>5.2837281301218514E-3</v>
      </c>
      <c r="H205" s="18"/>
      <c r="I205" s="18"/>
    </row>
    <row r="206" spans="1:17" ht="12" customHeight="1" x14ac:dyDescent="0.35">
      <c r="A206" s="95"/>
      <c r="B206" s="91"/>
      <c r="C206" s="95"/>
      <c r="D206" s="91"/>
      <c r="E206" s="95"/>
      <c r="F206" s="95"/>
      <c r="G206" s="109"/>
      <c r="H206" s="54"/>
      <c r="I206" s="54"/>
    </row>
    <row r="207" spans="1:17" ht="12" customHeight="1" x14ac:dyDescent="0.35">
      <c r="A207" s="95" t="s">
        <v>34</v>
      </c>
      <c r="B207" s="91"/>
      <c r="C207" s="103">
        <f>SUM(C197:C205)</f>
        <v>18901918960.132343</v>
      </c>
      <c r="D207" s="113" t="s">
        <v>33</v>
      </c>
      <c r="E207" s="103">
        <f>SUM(E197:E205)</f>
        <v>1074728991.7167573</v>
      </c>
      <c r="F207" s="103">
        <f>SUM(F197:F205)</f>
        <v>8208903934.8456478</v>
      </c>
      <c r="G207" s="109">
        <f>SUM(G197:G205)</f>
        <v>1.0000000000000002</v>
      </c>
      <c r="H207" s="54"/>
      <c r="I207" s="54"/>
    </row>
    <row r="208" spans="1:17" ht="12" customHeight="1" x14ac:dyDescent="0.35">
      <c r="A208" s="95"/>
      <c r="B208" s="91"/>
      <c r="C208" s="95"/>
      <c r="D208" s="91"/>
      <c r="E208" s="95"/>
      <c r="H208" s="54"/>
      <c r="I208" s="54"/>
    </row>
    <row r="209" spans="1:10" ht="12" customHeight="1" x14ac:dyDescent="0.35">
      <c r="A209" s="95"/>
      <c r="B209" s="91"/>
      <c r="C209" s="95"/>
      <c r="D209" s="91"/>
      <c r="E209" s="95"/>
      <c r="F209" s="114"/>
      <c r="G209" s="115"/>
      <c r="H209" s="54"/>
      <c r="I209" s="54"/>
    </row>
    <row r="210" spans="1:10" ht="12" customHeight="1" thickBot="1" x14ac:dyDescent="0.4">
      <c r="A210" s="53" t="s">
        <v>194</v>
      </c>
      <c r="B210" s="91"/>
      <c r="C210" s="95"/>
      <c r="D210" s="91"/>
      <c r="E210" s="95"/>
      <c r="F210" s="95"/>
      <c r="G210" s="95"/>
      <c r="H210" s="54"/>
      <c r="I210" s="54"/>
    </row>
    <row r="211" spans="1:10" ht="39.5" x14ac:dyDescent="0.35">
      <c r="A211" s="95"/>
      <c r="B211" s="95"/>
      <c r="C211" s="59" t="s">
        <v>195</v>
      </c>
      <c r="D211" s="60"/>
      <c r="E211" s="59" t="s">
        <v>196</v>
      </c>
      <c r="F211" s="59" t="s">
        <v>197</v>
      </c>
      <c r="G211" s="95"/>
      <c r="H211" s="184" t="s">
        <v>198</v>
      </c>
      <c r="I211" s="185"/>
    </row>
    <row r="212" spans="1:10" ht="12" customHeight="1" x14ac:dyDescent="0.35">
      <c r="A212" s="95"/>
      <c r="B212" s="95"/>
      <c r="C212" s="113"/>
      <c r="D212" s="113"/>
      <c r="E212" s="113"/>
      <c r="F212" s="113"/>
      <c r="G212" s="95"/>
      <c r="H212" s="186"/>
      <c r="I212" s="187"/>
    </row>
    <row r="213" spans="1:10" ht="12" customHeight="1" x14ac:dyDescent="0.35">
      <c r="A213" s="95" t="s">
        <v>10</v>
      </c>
      <c r="B213" s="95"/>
      <c r="C213" s="117">
        <f>$C$190*G197</f>
        <v>831792.21050260798</v>
      </c>
      <c r="D213" s="113"/>
      <c r="E213" s="113"/>
      <c r="F213" s="118">
        <f>C213/F197</f>
        <v>1.4866203680017704E-4</v>
      </c>
      <c r="G213" s="95"/>
      <c r="H213" s="186"/>
      <c r="I213" s="187"/>
    </row>
    <row r="214" spans="1:10" ht="12" customHeight="1" x14ac:dyDescent="0.35">
      <c r="A214" s="95"/>
      <c r="B214" s="95"/>
      <c r="C214" s="117"/>
      <c r="D214" s="113"/>
      <c r="E214" s="113"/>
      <c r="F214" s="118"/>
      <c r="G214" s="95"/>
      <c r="H214" s="186"/>
      <c r="I214" s="187"/>
    </row>
    <row r="215" spans="1:10" ht="12" customHeight="1" x14ac:dyDescent="0.35">
      <c r="A215" s="95" t="s">
        <v>2</v>
      </c>
      <c r="B215" s="95"/>
      <c r="C215" s="117">
        <f>$C$190*G199</f>
        <v>227673.80343577184</v>
      </c>
      <c r="D215" s="113"/>
      <c r="E215" s="113"/>
      <c r="F215" s="118">
        <f>C215/F199</f>
        <v>1.0357866886822321E-4</v>
      </c>
      <c r="G215" s="95"/>
      <c r="H215" s="186"/>
      <c r="I215" s="187"/>
    </row>
    <row r="216" spans="1:10" ht="12" customHeight="1" x14ac:dyDescent="0.35">
      <c r="A216" s="95"/>
      <c r="B216" s="95"/>
      <c r="C216" s="117"/>
      <c r="D216" s="113"/>
      <c r="E216" s="113"/>
      <c r="F216" s="120"/>
      <c r="G216" s="95"/>
      <c r="H216" s="186"/>
      <c r="I216" s="187"/>
    </row>
    <row r="217" spans="1:10" ht="12" customHeight="1" x14ac:dyDescent="0.35">
      <c r="A217" s="95" t="s">
        <v>9</v>
      </c>
      <c r="B217" s="95"/>
      <c r="C217" s="117">
        <f>$C$190*G201</f>
        <v>900096.82433720084</v>
      </c>
      <c r="D217" s="113"/>
      <c r="E217" s="165">
        <f>C217/I201</f>
        <v>3.5037437294051343E-2</v>
      </c>
      <c r="F217" s="118">
        <f>(C217-(E217*J201))/K201</f>
        <v>9.6561412582078161E-5</v>
      </c>
      <c r="G217" s="95"/>
      <c r="H217" s="186"/>
      <c r="I217" s="187"/>
    </row>
    <row r="218" spans="1:10" ht="12" customHeight="1" x14ac:dyDescent="0.35">
      <c r="A218" s="95"/>
      <c r="B218" s="95"/>
      <c r="C218" s="117"/>
      <c r="D218" s="113"/>
      <c r="E218" s="113"/>
      <c r="F218" s="120"/>
      <c r="G218" s="95"/>
      <c r="H218" s="186"/>
      <c r="I218" s="187"/>
    </row>
    <row r="219" spans="1:10" ht="12" customHeight="1" x14ac:dyDescent="0.35">
      <c r="A219" s="95" t="s">
        <v>8</v>
      </c>
      <c r="B219" s="95"/>
      <c r="C219" s="117">
        <f>$C$190*G203</f>
        <v>31859.138007915775</v>
      </c>
      <c r="D219" s="113"/>
      <c r="E219" s="113"/>
      <c r="F219" s="118">
        <f>C219/F203</f>
        <v>9.6590194068320084E-5</v>
      </c>
      <c r="G219" s="95"/>
      <c r="H219" s="186"/>
      <c r="I219" s="187"/>
    </row>
    <row r="220" spans="1:10" ht="12" customHeight="1" x14ac:dyDescent="0.35">
      <c r="A220" s="95"/>
      <c r="B220" s="95"/>
      <c r="C220" s="117"/>
      <c r="D220" s="113"/>
      <c r="E220" s="113"/>
      <c r="F220" s="118"/>
      <c r="G220" s="95"/>
      <c r="H220" s="186"/>
      <c r="I220" s="187"/>
    </row>
    <row r="221" spans="1:10" ht="12" customHeight="1" x14ac:dyDescent="0.35">
      <c r="A221" s="95" t="s">
        <v>0</v>
      </c>
      <c r="B221" s="95"/>
      <c r="C221" s="121">
        <f>$C$190*G205</f>
        <v>10578.023716503947</v>
      </c>
      <c r="D221" s="113"/>
      <c r="E221" s="113"/>
      <c r="F221" s="122">
        <f>C221/F205</f>
        <v>1.2328637614477078E-4</v>
      </c>
      <c r="G221" s="95"/>
      <c r="H221" s="186"/>
      <c r="I221" s="187"/>
    </row>
    <row r="222" spans="1:10" ht="12" customHeight="1" x14ac:dyDescent="0.35">
      <c r="A222" s="95"/>
      <c r="B222" s="95"/>
      <c r="C222" s="117"/>
      <c r="D222" s="113"/>
      <c r="E222" s="113"/>
      <c r="F222" s="118"/>
      <c r="G222" s="95"/>
      <c r="H222" s="186"/>
      <c r="I222" s="187"/>
    </row>
    <row r="223" spans="1:10" ht="12" customHeight="1" thickBot="1" x14ac:dyDescent="0.4">
      <c r="A223" s="99" t="s">
        <v>29</v>
      </c>
      <c r="B223" s="95"/>
      <c r="C223" s="117">
        <f>SUM(C213:C222)</f>
        <v>2002000.0000000005</v>
      </c>
      <c r="D223" s="113"/>
      <c r="E223" s="113"/>
      <c r="F223" s="61">
        <f>C223/F207</f>
        <v>2.4388152375639222E-4</v>
      </c>
      <c r="G223" s="95"/>
      <c r="H223" s="188"/>
      <c r="I223" s="189"/>
    </row>
    <row r="224" spans="1:10" ht="12" customHeight="1" x14ac:dyDescent="0.35">
      <c r="A224" s="95"/>
      <c r="B224" s="91"/>
      <c r="C224" s="95"/>
      <c r="D224" s="91"/>
      <c r="E224" s="95"/>
      <c r="F224" s="123"/>
      <c r="G224" s="124"/>
      <c r="H224" s="54"/>
      <c r="I224" s="54"/>
      <c r="J224" s="54"/>
    </row>
    <row r="225" spans="1:10" ht="12" customHeight="1" x14ac:dyDescent="0.35">
      <c r="A225" s="55"/>
      <c r="B225" s="55"/>
      <c r="C225" s="166"/>
      <c r="D225" s="95"/>
      <c r="E225" s="95"/>
      <c r="F225" s="95"/>
      <c r="G225" s="95"/>
    </row>
    <row r="226" spans="1:10" ht="15.5" x14ac:dyDescent="0.35">
      <c r="A226" s="91"/>
      <c r="B226" s="91"/>
      <c r="C226" s="91"/>
      <c r="D226" s="91"/>
      <c r="E226" s="91"/>
      <c r="F226" s="91"/>
      <c r="G226" s="91"/>
      <c r="I226" s="54"/>
      <c r="J226" s="54"/>
    </row>
    <row r="227" spans="1:10" ht="15.5" x14ac:dyDescent="0.35">
      <c r="A227" s="53" t="s">
        <v>199</v>
      </c>
      <c r="B227" s="91"/>
      <c r="C227" s="95"/>
      <c r="D227" s="91"/>
      <c r="E227" s="95"/>
      <c r="F227" s="95"/>
      <c r="G227" s="95"/>
      <c r="H227" s="54"/>
      <c r="I227" s="54"/>
      <c r="J227" s="54"/>
    </row>
    <row r="228" spans="1:10" ht="15.5" x14ac:dyDescent="0.35">
      <c r="A228" s="95"/>
      <c r="B228" s="91"/>
      <c r="C228" s="95"/>
      <c r="D228" s="91"/>
      <c r="E228" s="95"/>
      <c r="F228" s="95"/>
      <c r="G228" s="95"/>
      <c r="H228" s="54"/>
      <c r="I228" s="54"/>
      <c r="J228" s="54"/>
    </row>
    <row r="229" spans="1:10" ht="15.5" x14ac:dyDescent="0.35">
      <c r="A229" s="55" t="s">
        <v>38</v>
      </c>
      <c r="B229" s="91"/>
      <c r="C229" s="96">
        <v>20069400</v>
      </c>
      <c r="D229" s="91"/>
      <c r="E229" s="55"/>
      <c r="F229" s="95"/>
      <c r="G229" s="56"/>
      <c r="H229" s="91"/>
      <c r="I229" s="54"/>
      <c r="J229" s="54"/>
    </row>
    <row r="230" spans="1:10" ht="15.5" x14ac:dyDescent="0.35">
      <c r="A230" s="57" t="s">
        <v>37</v>
      </c>
      <c r="B230" s="91"/>
      <c r="C230" s="98">
        <v>0</v>
      </c>
      <c r="D230" s="91"/>
      <c r="E230" s="55"/>
      <c r="F230" s="95"/>
      <c r="G230" s="58"/>
      <c r="H230" s="91"/>
      <c r="I230" s="54"/>
      <c r="J230" s="54"/>
    </row>
    <row r="231" spans="1:10" ht="15.5" x14ac:dyDescent="0.35">
      <c r="A231" s="99" t="s">
        <v>186</v>
      </c>
      <c r="B231" s="91"/>
      <c r="C231" s="100">
        <f>SUM(C229:C230)</f>
        <v>20069400</v>
      </c>
      <c r="D231" s="91"/>
      <c r="E231" s="95"/>
      <c r="F231" s="95"/>
      <c r="G231" s="95"/>
      <c r="H231" s="54"/>
      <c r="I231" s="54"/>
      <c r="J231" s="54"/>
    </row>
    <row r="232" spans="1:10" ht="15.5" x14ac:dyDescent="0.35">
      <c r="A232" s="99"/>
      <c r="B232" s="91"/>
      <c r="C232" s="95"/>
      <c r="D232" s="91"/>
      <c r="E232" s="95"/>
      <c r="F232" s="95"/>
      <c r="G232" s="95"/>
      <c r="H232" s="54"/>
      <c r="I232" s="54"/>
      <c r="J232" s="54"/>
    </row>
    <row r="233" spans="1:10" ht="15.5" x14ac:dyDescent="0.35">
      <c r="A233" s="55"/>
      <c r="B233" s="91"/>
      <c r="C233" s="101"/>
      <c r="D233" s="91"/>
      <c r="E233" s="95"/>
      <c r="F233" s="95"/>
      <c r="G233" s="95"/>
      <c r="H233" s="54"/>
      <c r="I233" s="54"/>
      <c r="J233" s="54"/>
    </row>
    <row r="234" spans="1:10" ht="15.5" x14ac:dyDescent="0.35">
      <c r="A234" s="53"/>
      <c r="B234" s="91"/>
      <c r="C234" s="95"/>
      <c r="D234" s="91"/>
      <c r="E234" s="95"/>
      <c r="F234" s="95"/>
      <c r="G234" s="95"/>
      <c r="H234" s="54"/>
      <c r="I234" s="54"/>
      <c r="J234" s="54"/>
    </row>
    <row r="235" spans="1:10" ht="15.5" x14ac:dyDescent="0.35">
      <c r="A235" s="53" t="s">
        <v>200</v>
      </c>
      <c r="B235" s="91"/>
      <c r="C235" s="95"/>
      <c r="D235" s="91"/>
      <c r="E235" s="95"/>
      <c r="F235" s="95"/>
      <c r="G235" s="95"/>
      <c r="H235" s="54"/>
      <c r="I235" s="54"/>
      <c r="J235" s="54"/>
    </row>
    <row r="236" spans="1:10" ht="26.5" x14ac:dyDescent="0.35">
      <c r="A236" s="99"/>
      <c r="B236" s="91"/>
      <c r="C236" s="59" t="str">
        <f>$C$17</f>
        <v>2019 GRC P2 Sales TY 2020
(kWh)</v>
      </c>
      <c r="D236" s="91"/>
      <c r="E236" s="59" t="s">
        <v>289</v>
      </c>
      <c r="F236" s="54"/>
      <c r="G236" s="59" t="s">
        <v>190</v>
      </c>
      <c r="H236" s="59" t="s">
        <v>191</v>
      </c>
      <c r="I236" s="59" t="s">
        <v>192</v>
      </c>
    </row>
    <row r="237" spans="1:10" ht="12" customHeight="1" x14ac:dyDescent="0.35">
      <c r="A237" s="99"/>
      <c r="B237" s="91"/>
      <c r="C237" s="95"/>
      <c r="D237" s="91"/>
      <c r="E237" s="95"/>
      <c r="F237" s="54"/>
      <c r="G237" s="54"/>
      <c r="H237" s="54"/>
    </row>
    <row r="238" spans="1:10" ht="12" customHeight="1" x14ac:dyDescent="0.35">
      <c r="A238" s="99" t="s">
        <v>10</v>
      </c>
      <c r="B238" s="91"/>
      <c r="C238" s="102">
        <v>6652988141.1181479</v>
      </c>
      <c r="D238" s="91"/>
      <c r="E238" s="104">
        <v>8.4156525586731964E-2</v>
      </c>
      <c r="F238" s="17"/>
      <c r="G238" s="54"/>
    </row>
    <row r="239" spans="1:10" ht="12" customHeight="1" x14ac:dyDescent="0.35">
      <c r="A239" s="99"/>
      <c r="B239" s="91"/>
      <c r="C239" s="102"/>
      <c r="D239" s="91"/>
      <c r="E239" s="104"/>
      <c r="F239" s="18"/>
      <c r="G239" s="19"/>
    </row>
    <row r="240" spans="1:10" ht="12" customHeight="1" x14ac:dyDescent="0.35">
      <c r="A240" s="99" t="s">
        <v>2</v>
      </c>
      <c r="B240" s="91"/>
      <c r="C240" s="102">
        <v>2200347912.2960796</v>
      </c>
      <c r="D240" s="91"/>
      <c r="E240" s="104">
        <v>0</v>
      </c>
      <c r="F240" s="17"/>
      <c r="G240" s="18"/>
    </row>
    <row r="241" spans="1:9" ht="12" customHeight="1" x14ac:dyDescent="0.35">
      <c r="A241" s="99"/>
      <c r="B241" s="91"/>
      <c r="C241" s="102"/>
      <c r="D241" s="91"/>
      <c r="E241" s="104"/>
      <c r="F241" s="17"/>
      <c r="G241" s="18"/>
    </row>
    <row r="242" spans="1:9" ht="12" customHeight="1" x14ac:dyDescent="0.35">
      <c r="A242" s="99" t="s">
        <v>9</v>
      </c>
      <c r="B242" s="91"/>
      <c r="C242" s="102">
        <v>9632944256.333025</v>
      </c>
      <c r="D242" s="91"/>
      <c r="E242" s="104">
        <v>0.87714842933187254</v>
      </c>
      <c r="F242" s="17"/>
      <c r="G242" s="18">
        <v>25689573.606172942</v>
      </c>
      <c r="H242" s="142">
        <v>4857865.0255947243</v>
      </c>
      <c r="I242" s="142">
        <v>7573471454.7002974</v>
      </c>
    </row>
    <row r="243" spans="1:9" ht="12" customHeight="1" x14ac:dyDescent="0.35">
      <c r="A243" s="99"/>
      <c r="B243" s="91"/>
      <c r="C243" s="102"/>
      <c r="D243" s="91"/>
      <c r="E243" s="104"/>
      <c r="F243" s="20"/>
      <c r="G243" s="19"/>
    </row>
    <row r="244" spans="1:9" ht="12" customHeight="1" x14ac:dyDescent="0.35">
      <c r="A244" s="99" t="s">
        <v>8</v>
      </c>
      <c r="B244" s="91"/>
      <c r="C244" s="102">
        <v>329838223.38509023</v>
      </c>
      <c r="D244" s="91"/>
      <c r="E244" s="104">
        <v>3.8695045081395513E-2</v>
      </c>
      <c r="F244" s="17"/>
      <c r="G244" s="18"/>
    </row>
    <row r="245" spans="1:9" ht="12" customHeight="1" x14ac:dyDescent="0.35">
      <c r="A245" s="95"/>
      <c r="B245" s="91"/>
      <c r="C245" s="102"/>
      <c r="D245" s="91"/>
      <c r="E245" s="109"/>
      <c r="F245" s="20"/>
      <c r="G245" s="18"/>
    </row>
    <row r="246" spans="1:9" ht="12" customHeight="1" x14ac:dyDescent="0.35">
      <c r="A246" s="95" t="s">
        <v>0</v>
      </c>
      <c r="B246" s="91"/>
      <c r="C246" s="82">
        <v>85800427</v>
      </c>
      <c r="D246" s="91"/>
      <c r="E246" s="134">
        <v>0</v>
      </c>
      <c r="F246" s="18"/>
      <c r="G246" s="18"/>
    </row>
    <row r="247" spans="1:9" ht="12" customHeight="1" x14ac:dyDescent="0.35">
      <c r="A247" s="95"/>
      <c r="B247" s="91"/>
      <c r="C247" s="95"/>
      <c r="D247" s="91"/>
      <c r="E247" s="109"/>
      <c r="F247" s="54"/>
      <c r="G247" s="54"/>
    </row>
    <row r="248" spans="1:9" ht="12" customHeight="1" x14ac:dyDescent="0.35">
      <c r="A248" s="95" t="s">
        <v>34</v>
      </c>
      <c r="B248" s="91"/>
      <c r="C248" s="103">
        <f>SUM(C238:C246)</f>
        <v>18901918960.132343</v>
      </c>
      <c r="D248" s="113"/>
      <c r="E248" s="109">
        <f>SUM(E238:E246)</f>
        <v>1</v>
      </c>
      <c r="F248" s="54"/>
      <c r="G248" s="54"/>
    </row>
    <row r="249" spans="1:9" ht="12" customHeight="1" x14ac:dyDescent="0.35">
      <c r="A249" s="95"/>
      <c r="B249" s="91"/>
      <c r="C249" s="95"/>
      <c r="D249" s="91"/>
      <c r="E249" s="95"/>
      <c r="H249" s="54"/>
      <c r="I249" s="54"/>
    </row>
    <row r="250" spans="1:9" ht="12" customHeight="1" x14ac:dyDescent="0.35">
      <c r="A250" s="95"/>
      <c r="B250" s="91"/>
      <c r="C250" s="95"/>
      <c r="D250" s="91"/>
      <c r="E250" s="95"/>
      <c r="F250" s="114"/>
      <c r="G250" s="115"/>
      <c r="H250" s="54"/>
      <c r="I250" s="54"/>
    </row>
    <row r="251" spans="1:9" ht="12" customHeight="1" thickBot="1" x14ac:dyDescent="0.4">
      <c r="A251" s="53" t="s">
        <v>201</v>
      </c>
      <c r="B251" s="91"/>
      <c r="C251" s="95"/>
      <c r="D251" s="91"/>
      <c r="E251" s="95"/>
      <c r="F251" s="95"/>
      <c r="G251" s="95"/>
      <c r="H251" s="54"/>
      <c r="I251" s="54"/>
    </row>
    <row r="252" spans="1:9" ht="39.5" x14ac:dyDescent="0.35">
      <c r="A252" s="95"/>
      <c r="B252" s="95"/>
      <c r="C252" s="59" t="s">
        <v>202</v>
      </c>
      <c r="D252" s="60"/>
      <c r="E252" s="59" t="s">
        <v>203</v>
      </c>
      <c r="F252" s="59" t="s">
        <v>204</v>
      </c>
      <c r="G252" s="95"/>
      <c r="H252" s="184" t="s">
        <v>198</v>
      </c>
      <c r="I252" s="185"/>
    </row>
    <row r="253" spans="1:9" ht="12" customHeight="1" x14ac:dyDescent="0.35">
      <c r="A253" s="95"/>
      <c r="B253" s="95"/>
      <c r="C253" s="113"/>
      <c r="D253" s="113"/>
      <c r="E253" s="113"/>
      <c r="F253" s="113"/>
      <c r="G253" s="95"/>
      <c r="H253" s="186"/>
      <c r="I253" s="187"/>
    </row>
    <row r="254" spans="1:9" ht="12" customHeight="1" x14ac:dyDescent="0.35">
      <c r="A254" s="95" t="s">
        <v>10</v>
      </c>
      <c r="B254" s="95"/>
      <c r="C254" s="117">
        <f>$C$231*E238</f>
        <v>1688970.9746103585</v>
      </c>
      <c r="D254" s="113"/>
      <c r="E254" s="113"/>
      <c r="F254" s="118">
        <f>C254/C238</f>
        <v>2.5386652415203286E-4</v>
      </c>
      <c r="G254" s="95"/>
      <c r="H254" s="186"/>
      <c r="I254" s="187"/>
    </row>
    <row r="255" spans="1:9" ht="12" customHeight="1" x14ac:dyDescent="0.35">
      <c r="A255" s="95"/>
      <c r="B255" s="95"/>
      <c r="C255" s="117"/>
      <c r="D255" s="113"/>
      <c r="E255" s="113"/>
      <c r="F255" s="118"/>
      <c r="G255" s="95"/>
      <c r="H255" s="186"/>
      <c r="I255" s="187"/>
    </row>
    <row r="256" spans="1:9" ht="12" customHeight="1" x14ac:dyDescent="0.35">
      <c r="A256" s="95" t="s">
        <v>2</v>
      </c>
      <c r="B256" s="95"/>
      <c r="C256" s="117">
        <f>$C$231*E240</f>
        <v>0</v>
      </c>
      <c r="D256" s="113"/>
      <c r="E256" s="113"/>
      <c r="F256" s="118">
        <f>C256/C240</f>
        <v>0</v>
      </c>
      <c r="G256" s="95"/>
      <c r="H256" s="186"/>
      <c r="I256" s="187"/>
    </row>
    <row r="257" spans="1:10" ht="12" customHeight="1" x14ac:dyDescent="0.35">
      <c r="A257" s="95"/>
      <c r="B257" s="95"/>
      <c r="C257" s="117"/>
      <c r="D257" s="113"/>
      <c r="E257" s="113"/>
      <c r="F257" s="120"/>
      <c r="G257" s="95"/>
      <c r="H257" s="186"/>
      <c r="I257" s="187"/>
    </row>
    <row r="258" spans="1:10" ht="12" customHeight="1" x14ac:dyDescent="0.35">
      <c r="A258" s="95" t="s">
        <v>9</v>
      </c>
      <c r="B258" s="95"/>
      <c r="C258" s="117">
        <f>$C$231*E242</f>
        <v>17603842.687633082</v>
      </c>
      <c r="D258" s="113"/>
      <c r="E258" s="165">
        <f>C258/G242</f>
        <v>0.68525242798903674</v>
      </c>
      <c r="F258" s="118">
        <f>(C258-(E258*H242))/I242</f>
        <v>1.8848660048942079E-3</v>
      </c>
      <c r="G258" s="95"/>
      <c r="H258" s="186"/>
      <c r="I258" s="187"/>
    </row>
    <row r="259" spans="1:10" ht="12" customHeight="1" x14ac:dyDescent="0.35">
      <c r="A259" s="95"/>
      <c r="B259" s="95"/>
      <c r="C259" s="117"/>
      <c r="D259" s="113"/>
      <c r="E259" s="113"/>
      <c r="F259" s="120"/>
      <c r="G259" s="95"/>
      <c r="H259" s="186"/>
      <c r="I259" s="187"/>
    </row>
    <row r="260" spans="1:10" ht="12" customHeight="1" x14ac:dyDescent="0.35">
      <c r="A260" s="95" t="s">
        <v>8</v>
      </c>
      <c r="B260" s="95"/>
      <c r="C260" s="117">
        <f>$C$231*E244</f>
        <v>776586.33775655914</v>
      </c>
      <c r="D260" s="113"/>
      <c r="E260" s="113"/>
      <c r="F260" s="118">
        <f>C260/C244</f>
        <v>2.3544461578362459E-3</v>
      </c>
      <c r="G260" s="95"/>
      <c r="H260" s="186"/>
      <c r="I260" s="187"/>
    </row>
    <row r="261" spans="1:10" ht="12" customHeight="1" x14ac:dyDescent="0.35">
      <c r="A261" s="95"/>
      <c r="B261" s="95"/>
      <c r="C261" s="117"/>
      <c r="D261" s="113"/>
      <c r="E261" s="113"/>
      <c r="F261" s="118"/>
      <c r="G261" s="95"/>
      <c r="H261" s="186"/>
      <c r="I261" s="187"/>
    </row>
    <row r="262" spans="1:10" ht="12" customHeight="1" x14ac:dyDescent="0.35">
      <c r="A262" s="95" t="s">
        <v>0</v>
      </c>
      <c r="B262" s="95"/>
      <c r="C262" s="121">
        <f>$C$231*E246</f>
        <v>0</v>
      </c>
      <c r="D262" s="113"/>
      <c r="E262" s="113"/>
      <c r="F262" s="122">
        <f>C262/C246</f>
        <v>0</v>
      </c>
      <c r="G262" s="95"/>
      <c r="H262" s="186"/>
      <c r="I262" s="187"/>
    </row>
    <row r="263" spans="1:10" ht="12" customHeight="1" x14ac:dyDescent="0.35">
      <c r="A263" s="95"/>
      <c r="B263" s="95"/>
      <c r="C263" s="117"/>
      <c r="D263" s="113"/>
      <c r="E263" s="113"/>
      <c r="F263" s="118"/>
      <c r="G263" s="95"/>
      <c r="H263" s="186"/>
      <c r="I263" s="187"/>
    </row>
    <row r="264" spans="1:10" ht="12" customHeight="1" thickBot="1" x14ac:dyDescent="0.4">
      <c r="A264" s="99" t="s">
        <v>29</v>
      </c>
      <c r="B264" s="95"/>
      <c r="C264" s="117">
        <f>SUM(C254:C263)</f>
        <v>20069400</v>
      </c>
      <c r="D264" s="113"/>
      <c r="E264" s="113"/>
      <c r="F264" s="61">
        <f>C264/C248</f>
        <v>1.061765212427907E-3</v>
      </c>
      <c r="G264" s="95"/>
      <c r="H264" s="188"/>
      <c r="I264" s="189"/>
    </row>
    <row r="265" spans="1:10" ht="12" customHeight="1" x14ac:dyDescent="0.35">
      <c r="A265" s="95"/>
      <c r="B265" s="91"/>
      <c r="C265" s="95"/>
      <c r="D265" s="91"/>
      <c r="E265" s="95"/>
      <c r="F265" s="123"/>
      <c r="G265" s="124"/>
      <c r="H265" s="54"/>
      <c r="I265" s="54"/>
      <c r="J265" s="54"/>
    </row>
    <row r="266" spans="1:10" ht="12" customHeight="1" x14ac:dyDescent="0.35">
      <c r="A266" s="55"/>
      <c r="B266" s="55"/>
      <c r="C266" s="166"/>
      <c r="D266" s="95"/>
      <c r="E266" s="95"/>
      <c r="F266" s="95"/>
      <c r="G266" s="95"/>
    </row>
    <row r="267" spans="1:10" ht="12" customHeight="1" x14ac:dyDescent="0.35">
      <c r="A267" s="55"/>
      <c r="B267" s="55"/>
      <c r="C267" s="166"/>
      <c r="D267" s="95"/>
      <c r="E267" s="95"/>
      <c r="F267" s="95"/>
      <c r="G267" s="95"/>
    </row>
    <row r="268" spans="1:10" ht="12" customHeight="1" x14ac:dyDescent="0.35">
      <c r="A268" s="53" t="s">
        <v>279</v>
      </c>
      <c r="B268" s="91"/>
      <c r="C268" s="95"/>
      <c r="D268" s="91"/>
      <c r="E268" s="95"/>
      <c r="F268" s="95"/>
      <c r="G268" s="95"/>
    </row>
    <row r="269" spans="1:10" ht="12" customHeight="1" x14ac:dyDescent="0.35">
      <c r="A269" s="95"/>
      <c r="B269" s="91"/>
      <c r="C269" s="95"/>
      <c r="D269" s="91"/>
      <c r="E269" s="95"/>
      <c r="F269" s="95"/>
      <c r="G269" s="95"/>
    </row>
    <row r="270" spans="1:10" ht="12" customHeight="1" x14ac:dyDescent="0.35">
      <c r="A270" s="55" t="s">
        <v>38</v>
      </c>
      <c r="B270" s="91"/>
      <c r="C270" s="96">
        <v>28119</v>
      </c>
      <c r="D270" s="91"/>
      <c r="E270" s="55"/>
      <c r="F270" s="95"/>
      <c r="G270" s="56"/>
    </row>
    <row r="271" spans="1:10" ht="12" customHeight="1" x14ac:dyDescent="0.35">
      <c r="A271" s="57" t="s">
        <v>37</v>
      </c>
      <c r="B271" s="91"/>
      <c r="C271" s="98">
        <v>29000</v>
      </c>
      <c r="D271" s="91"/>
      <c r="E271" s="55"/>
      <c r="F271" s="95"/>
      <c r="G271" s="58"/>
    </row>
    <row r="272" spans="1:10" ht="12" customHeight="1" x14ac:dyDescent="0.35">
      <c r="A272" s="99" t="s">
        <v>186</v>
      </c>
      <c r="B272" s="91"/>
      <c r="C272" s="100">
        <f>SUM(C270:C271)</f>
        <v>57119</v>
      </c>
      <c r="D272" s="91"/>
      <c r="E272" s="95"/>
      <c r="F272" s="95"/>
      <c r="G272" s="95"/>
    </row>
    <row r="273" spans="1:7" ht="12" customHeight="1" x14ac:dyDescent="0.35">
      <c r="A273" s="99"/>
      <c r="B273" s="91"/>
      <c r="C273" s="95"/>
      <c r="D273" s="91"/>
      <c r="E273" s="95"/>
      <c r="F273" s="95"/>
      <c r="G273" s="95"/>
    </row>
    <row r="274" spans="1:7" ht="12" customHeight="1" x14ac:dyDescent="0.35">
      <c r="A274" s="55"/>
      <c r="B274" s="91"/>
      <c r="C274" s="101"/>
      <c r="D274" s="91"/>
      <c r="E274" s="95"/>
      <c r="F274" s="95"/>
      <c r="G274" s="95"/>
    </row>
    <row r="275" spans="1:7" ht="12" customHeight="1" x14ac:dyDescent="0.35">
      <c r="A275" s="53"/>
      <c r="B275" s="91"/>
      <c r="C275" s="95"/>
      <c r="D275" s="91"/>
      <c r="E275" s="95"/>
      <c r="F275" s="95"/>
      <c r="G275" s="95"/>
    </row>
    <row r="276" spans="1:7" ht="12" customHeight="1" x14ac:dyDescent="0.35">
      <c r="A276" s="53" t="s">
        <v>280</v>
      </c>
      <c r="B276" s="91"/>
      <c r="C276" s="95"/>
      <c r="D276" s="91"/>
      <c r="E276" s="95"/>
      <c r="F276" s="95"/>
      <c r="G276" s="95"/>
    </row>
    <row r="277" spans="1:7" ht="41.4" customHeight="1" x14ac:dyDescent="0.35">
      <c r="A277" s="99"/>
      <c r="B277" s="91"/>
      <c r="C277" s="59" t="str">
        <f>$C$17</f>
        <v>2019 GRC P2 Sales TY 2020
(kWh)</v>
      </c>
      <c r="D277" s="91"/>
      <c r="E277" s="59" t="s">
        <v>49</v>
      </c>
      <c r="F277" s="59" t="s">
        <v>48</v>
      </c>
      <c r="G277" s="59" t="s">
        <v>289</v>
      </c>
    </row>
    <row r="278" spans="1:7" ht="12" customHeight="1" x14ac:dyDescent="0.35">
      <c r="A278" s="99"/>
      <c r="B278" s="91"/>
      <c r="C278" s="95"/>
      <c r="D278" s="91"/>
      <c r="E278" s="95"/>
      <c r="F278" s="95"/>
      <c r="G278" s="95"/>
    </row>
    <row r="279" spans="1:7" ht="12" customHeight="1" x14ac:dyDescent="0.35">
      <c r="A279" s="99" t="s">
        <v>10</v>
      </c>
      <c r="B279" s="91"/>
      <c r="C279" s="102">
        <v>6652988141.1181479</v>
      </c>
      <c r="D279" s="91"/>
      <c r="E279" s="102">
        <v>1016702651.3608736</v>
      </c>
      <c r="F279" s="103">
        <f>C279-E279</f>
        <v>5636285489.7572746</v>
      </c>
      <c r="G279" s="104">
        <f>F279/$F$289</f>
        <v>0.31695711820870948</v>
      </c>
    </row>
    <row r="280" spans="1:7" ht="12" customHeight="1" x14ac:dyDescent="0.35">
      <c r="A280" s="99"/>
      <c r="B280" s="91"/>
      <c r="C280" s="102"/>
      <c r="D280" s="91"/>
      <c r="E280" s="105"/>
      <c r="F280" s="103"/>
      <c r="G280" s="104"/>
    </row>
    <row r="281" spans="1:7" ht="12" customHeight="1" x14ac:dyDescent="0.35">
      <c r="A281" s="99" t="s">
        <v>2</v>
      </c>
      <c r="B281" s="91"/>
      <c r="C281" s="102">
        <v>2200347912.2960796</v>
      </c>
      <c r="D281" s="91"/>
      <c r="E281" s="102">
        <v>2271745.422114118</v>
      </c>
      <c r="F281" s="103">
        <f>C281-E281</f>
        <v>2198076166.8739657</v>
      </c>
      <c r="G281" s="104">
        <f t="shared" ref="G281:G287" si="1">F281/$F$289</f>
        <v>0.12360904867606727</v>
      </c>
    </row>
    <row r="282" spans="1:7" ht="12" customHeight="1" x14ac:dyDescent="0.35">
      <c r="A282" s="99"/>
      <c r="B282" s="91"/>
      <c r="C282" s="102"/>
      <c r="D282" s="91"/>
      <c r="E282" s="102"/>
      <c r="F282" s="103"/>
      <c r="G282" s="104"/>
    </row>
    <row r="283" spans="1:7" ht="12" customHeight="1" x14ac:dyDescent="0.35">
      <c r="A283" s="99" t="s">
        <v>9</v>
      </c>
      <c r="B283" s="91"/>
      <c r="C283" s="102">
        <v>9632944256.333025</v>
      </c>
      <c r="D283" s="91"/>
      <c r="E283" s="102">
        <v>14658222.763086554</v>
      </c>
      <c r="F283" s="103">
        <f>C283-E283</f>
        <v>9618286033.5699387</v>
      </c>
      <c r="G283" s="104">
        <f t="shared" si="1"/>
        <v>0.54088534529479504</v>
      </c>
    </row>
    <row r="284" spans="1:7" ht="12" customHeight="1" x14ac:dyDescent="0.35">
      <c r="A284" s="99"/>
      <c r="B284" s="91"/>
      <c r="C284" s="102"/>
      <c r="D284" s="91"/>
      <c r="E284" s="103"/>
      <c r="F284" s="103"/>
      <c r="G284" s="104"/>
    </row>
    <row r="285" spans="1:7" ht="12" customHeight="1" x14ac:dyDescent="0.35">
      <c r="A285" s="99" t="s">
        <v>8</v>
      </c>
      <c r="B285" s="91"/>
      <c r="C285" s="102">
        <v>329838223.38509023</v>
      </c>
      <c r="D285" s="91"/>
      <c r="E285" s="108"/>
      <c r="F285" s="103">
        <f>C285-E285</f>
        <v>329838223.38509023</v>
      </c>
      <c r="G285" s="104">
        <f t="shared" si="1"/>
        <v>1.8548487820428158E-2</v>
      </c>
    </row>
    <row r="286" spans="1:7" ht="12" customHeight="1" x14ac:dyDescent="0.35">
      <c r="A286" s="95"/>
      <c r="B286" s="91"/>
      <c r="C286" s="102"/>
      <c r="D286" s="91"/>
      <c r="E286" s="108"/>
      <c r="F286" s="103"/>
      <c r="G286" s="104"/>
    </row>
    <row r="287" spans="1:7" ht="12" customHeight="1" x14ac:dyDescent="0.35">
      <c r="A287" s="95" t="s">
        <v>0</v>
      </c>
      <c r="B287" s="91"/>
      <c r="C287" s="82">
        <v>85800427</v>
      </c>
      <c r="D287" s="91"/>
      <c r="E287" s="158"/>
      <c r="F287" s="103">
        <v>0</v>
      </c>
      <c r="G287" s="104">
        <f t="shared" si="1"/>
        <v>0</v>
      </c>
    </row>
    <row r="288" spans="1:7" ht="12" customHeight="1" x14ac:dyDescent="0.35">
      <c r="A288" s="95"/>
      <c r="B288" s="91"/>
      <c r="C288" s="95"/>
      <c r="D288" s="91"/>
      <c r="E288" s="95"/>
      <c r="F288" s="95"/>
      <c r="G288" s="109"/>
    </row>
    <row r="289" spans="1:7" ht="12" customHeight="1" x14ac:dyDescent="0.35">
      <c r="A289" s="95" t="s">
        <v>34</v>
      </c>
      <c r="B289" s="91"/>
      <c r="C289" s="103">
        <f>SUM(C279:C287)</f>
        <v>18901918960.132343</v>
      </c>
      <c r="D289" s="113" t="s">
        <v>33</v>
      </c>
      <c r="E289" s="103">
        <f>SUM(E279:E287)</f>
        <v>1033632619.5460743</v>
      </c>
      <c r="F289" s="103">
        <f>SUM(F279:F287)</f>
        <v>17782485913.586269</v>
      </c>
      <c r="G289" s="109">
        <f>SUM(G279:G285)</f>
        <v>0.99999999999999989</v>
      </c>
    </row>
    <row r="290" spans="1:7" ht="12" customHeight="1" x14ac:dyDescent="0.35">
      <c r="A290" s="95"/>
      <c r="B290" s="91"/>
      <c r="C290" s="95"/>
      <c r="D290" s="91"/>
      <c r="E290" s="95"/>
    </row>
    <row r="291" spans="1:7" ht="12" customHeight="1" x14ac:dyDescent="0.35">
      <c r="A291" s="95"/>
      <c r="B291" s="91"/>
      <c r="C291" s="95"/>
      <c r="D291" s="91"/>
      <c r="E291" s="95"/>
      <c r="F291" s="114"/>
      <c r="G291" s="115">
        <v>0</v>
      </c>
    </row>
    <row r="292" spans="1:7" ht="12" customHeight="1" x14ac:dyDescent="0.35">
      <c r="A292" s="53" t="s">
        <v>281</v>
      </c>
      <c r="B292" s="91"/>
      <c r="C292" s="95"/>
      <c r="D292" s="91"/>
      <c r="E292" s="95"/>
      <c r="F292" s="95"/>
      <c r="G292" s="95"/>
    </row>
    <row r="293" spans="1:7" ht="54" customHeight="1" x14ac:dyDescent="0.35">
      <c r="A293" s="95"/>
      <c r="B293" s="95"/>
      <c r="C293" s="59" t="s">
        <v>282</v>
      </c>
      <c r="D293" s="60"/>
      <c r="E293" s="59" t="s">
        <v>283</v>
      </c>
      <c r="F293" s="95"/>
      <c r="G293" s="95"/>
    </row>
    <row r="294" spans="1:7" ht="12" customHeight="1" x14ac:dyDescent="0.35">
      <c r="A294" s="95"/>
      <c r="B294" s="95"/>
      <c r="C294" s="113"/>
      <c r="D294" s="113"/>
      <c r="E294" s="113"/>
      <c r="F294" s="95"/>
      <c r="G294" s="116"/>
    </row>
    <row r="295" spans="1:7" ht="12" customHeight="1" x14ac:dyDescent="0.35">
      <c r="A295" s="95" t="s">
        <v>10</v>
      </c>
      <c r="B295" s="95"/>
      <c r="C295" s="167">
        <f>$C$272*G279</f>
        <v>18104.273634963276</v>
      </c>
      <c r="D295" s="113"/>
      <c r="E295" s="118">
        <f>C295/F279</f>
        <v>3.2120930829114073E-6</v>
      </c>
      <c r="F295" s="95"/>
      <c r="G295" s="119"/>
    </row>
    <row r="296" spans="1:7" ht="12" customHeight="1" x14ac:dyDescent="0.35">
      <c r="A296" s="95"/>
      <c r="B296" s="95"/>
      <c r="C296" s="117"/>
      <c r="D296" s="113"/>
      <c r="E296" s="118"/>
      <c r="F296" s="95"/>
      <c r="G296" s="95"/>
    </row>
    <row r="297" spans="1:7" ht="12" customHeight="1" x14ac:dyDescent="0.35">
      <c r="A297" s="95" t="s">
        <v>2</v>
      </c>
      <c r="B297" s="95"/>
      <c r="C297" s="167">
        <f>$C$272*G281</f>
        <v>7060.4252513282863</v>
      </c>
      <c r="D297" s="113"/>
      <c r="E297" s="118">
        <f>C297/F281</f>
        <v>3.2120930829114077E-6</v>
      </c>
      <c r="F297" s="95"/>
      <c r="G297" s="95"/>
    </row>
    <row r="298" spans="1:7" ht="12" customHeight="1" x14ac:dyDescent="0.35">
      <c r="A298" s="95"/>
      <c r="B298" s="95"/>
      <c r="C298" s="117"/>
      <c r="D298" s="113"/>
      <c r="E298" s="120"/>
      <c r="F298" s="95"/>
      <c r="G298" s="95"/>
    </row>
    <row r="299" spans="1:7" ht="12" customHeight="1" x14ac:dyDescent="0.35">
      <c r="A299" s="95" t="s">
        <v>9</v>
      </c>
      <c r="B299" s="95"/>
      <c r="C299" s="167">
        <f>$C$272*G283</f>
        <v>30894.830037893396</v>
      </c>
      <c r="D299" s="113"/>
      <c r="E299" s="118">
        <f>C299/F283</f>
        <v>3.2120930829114073E-6</v>
      </c>
      <c r="F299" s="95"/>
      <c r="G299" s="95"/>
    </row>
    <row r="300" spans="1:7" ht="12" customHeight="1" x14ac:dyDescent="0.35">
      <c r="A300" s="95"/>
      <c r="B300" s="95"/>
      <c r="C300" s="117"/>
      <c r="D300" s="113"/>
      <c r="E300" s="118"/>
      <c r="F300" s="95"/>
      <c r="G300" s="95"/>
    </row>
    <row r="301" spans="1:7" ht="12" customHeight="1" x14ac:dyDescent="0.35">
      <c r="A301" s="95" t="s">
        <v>8</v>
      </c>
      <c r="B301" s="95"/>
      <c r="C301" s="168">
        <f>$C$272*G285</f>
        <v>1059.4710758150359</v>
      </c>
      <c r="D301" s="113"/>
      <c r="E301" s="122">
        <f>C301/F285</f>
        <v>3.2120930829114073E-6</v>
      </c>
      <c r="F301" s="95"/>
      <c r="G301" s="95"/>
    </row>
    <row r="302" spans="1:7" ht="12" customHeight="1" x14ac:dyDescent="0.35">
      <c r="A302" s="95"/>
      <c r="B302" s="95"/>
      <c r="C302" s="117"/>
      <c r="D302" s="113"/>
      <c r="E302" s="118"/>
      <c r="F302" s="95"/>
      <c r="G302" s="95"/>
    </row>
    <row r="303" spans="1:7" ht="12" customHeight="1" x14ac:dyDescent="0.35">
      <c r="A303" s="99" t="s">
        <v>29</v>
      </c>
      <c r="B303" s="95"/>
      <c r="C303" s="117">
        <f>SUM(C295:C302)</f>
        <v>57118.999999999985</v>
      </c>
      <c r="D303" s="113"/>
      <c r="E303" s="61">
        <f>C303/F289</f>
        <v>3.2120930829114068E-6</v>
      </c>
      <c r="F303" s="95"/>
      <c r="G303" s="95"/>
    </row>
    <row r="304" spans="1:7" ht="12" customHeight="1" x14ac:dyDescent="0.35">
      <c r="A304" s="95"/>
      <c r="B304" s="91"/>
      <c r="C304" s="95"/>
      <c r="D304" s="91"/>
      <c r="E304" s="95"/>
      <c r="F304" s="123"/>
      <c r="G304" s="124"/>
    </row>
    <row r="305" spans="1:7" ht="12" customHeight="1" x14ac:dyDescent="0.35">
      <c r="A305" s="55"/>
      <c r="B305" s="55"/>
      <c r="C305" s="115"/>
      <c r="D305" s="95"/>
      <c r="E305" s="95"/>
      <c r="F305" s="95"/>
      <c r="G305" s="95"/>
    </row>
    <row r="306" spans="1:7" ht="12" customHeight="1" x14ac:dyDescent="0.35">
      <c r="A306" s="55"/>
      <c r="B306" s="55"/>
      <c r="C306" s="166"/>
      <c r="D306" s="95"/>
      <c r="E306" s="95"/>
      <c r="F306" s="95"/>
      <c r="G306" s="95"/>
    </row>
    <row r="307" spans="1:7" ht="12" customHeight="1" x14ac:dyDescent="0.35">
      <c r="A307" s="69" t="s">
        <v>284</v>
      </c>
      <c r="B307" s="55"/>
      <c r="C307" s="166"/>
      <c r="D307" s="95"/>
      <c r="E307" s="95"/>
      <c r="F307" s="95"/>
      <c r="G307" s="95"/>
    </row>
    <row r="308" spans="1:7" ht="15" thickBot="1" x14ac:dyDescent="0.4"/>
    <row r="309" spans="1:7" x14ac:dyDescent="0.35">
      <c r="A309" s="71"/>
      <c r="B309" s="72"/>
      <c r="C309" s="73"/>
    </row>
    <row r="310" spans="1:7" x14ac:dyDescent="0.35">
      <c r="A310" s="74"/>
      <c r="B310" s="55"/>
      <c r="C310" s="75"/>
    </row>
    <row r="311" spans="1:7" x14ac:dyDescent="0.35">
      <c r="A311" s="74" t="s">
        <v>205</v>
      </c>
      <c r="B311" s="55"/>
      <c r="C311" s="76">
        <f>SUM(E35,E72,G89,G106,H125,E169,F213,F254,E295)</f>
        <v>1.4361252003806132E-2</v>
      </c>
    </row>
    <row r="312" spans="1:7" x14ac:dyDescent="0.35">
      <c r="A312" s="74"/>
      <c r="B312" s="55"/>
      <c r="C312" s="76"/>
    </row>
    <row r="313" spans="1:7" x14ac:dyDescent="0.35">
      <c r="A313" s="74" t="s">
        <v>206</v>
      </c>
      <c r="B313" s="55"/>
      <c r="C313" s="76">
        <f>SUM(E37,E74,G91,G108,H127,E171,F215,F256,E297)</f>
        <v>1.7347096343292852E-2</v>
      </c>
    </row>
    <row r="314" spans="1:7" x14ac:dyDescent="0.35">
      <c r="A314" s="74"/>
      <c r="B314" s="55"/>
      <c r="C314" s="76"/>
    </row>
    <row r="315" spans="1:7" x14ac:dyDescent="0.35">
      <c r="A315" s="74" t="s">
        <v>9</v>
      </c>
      <c r="B315" s="55"/>
      <c r="C315" s="76"/>
    </row>
    <row r="316" spans="1:7" x14ac:dyDescent="0.35">
      <c r="A316" s="77" t="s">
        <v>207</v>
      </c>
      <c r="B316" s="55"/>
      <c r="C316" s="76">
        <f>SUM(E39,E76,H110,H129,E173,F217,F258,E299)</f>
        <v>1.8035170079017185E-2</v>
      </c>
    </row>
    <row r="317" spans="1:7" x14ac:dyDescent="0.35">
      <c r="A317" s="77" t="s">
        <v>208</v>
      </c>
      <c r="B317" s="55"/>
      <c r="C317" s="78">
        <f>SUM(E217,E258)</f>
        <v>0.72028986528308803</v>
      </c>
    </row>
    <row r="318" spans="1:7" x14ac:dyDescent="0.35">
      <c r="A318" s="77" t="s">
        <v>209</v>
      </c>
      <c r="B318" s="55"/>
      <c r="C318" s="76">
        <f>SUM(E39,E76,H110,H129,E173,E299)</f>
        <v>1.6053742661540898E-2</v>
      </c>
    </row>
    <row r="319" spans="1:7" x14ac:dyDescent="0.35">
      <c r="A319" s="74"/>
      <c r="B319" s="55"/>
      <c r="C319" s="76"/>
    </row>
    <row r="320" spans="1:7" x14ac:dyDescent="0.35">
      <c r="A320" s="74" t="s">
        <v>210</v>
      </c>
      <c r="B320" s="55"/>
      <c r="C320" s="76">
        <f>SUM(E41,E78,G95,G112,H131,E175,F219,F260,E301)</f>
        <v>1.8129278394652604E-2</v>
      </c>
    </row>
    <row r="321" spans="1:3" x14ac:dyDescent="0.35">
      <c r="A321" s="74"/>
      <c r="B321" s="55"/>
      <c r="C321" s="76"/>
    </row>
    <row r="322" spans="1:3" x14ac:dyDescent="0.35">
      <c r="A322" s="74" t="s">
        <v>211</v>
      </c>
      <c r="B322" s="55"/>
      <c r="C322" s="76">
        <f>SUM(G97,G114,G133,F221,F262)</f>
        <v>1.0511253518718593E-3</v>
      </c>
    </row>
    <row r="323" spans="1:3" x14ac:dyDescent="0.35">
      <c r="A323" s="74"/>
      <c r="B323" s="55"/>
      <c r="C323" s="75"/>
    </row>
    <row r="324" spans="1:3" ht="15" thickBot="1" x14ac:dyDescent="0.4">
      <c r="A324" s="79" t="s">
        <v>212</v>
      </c>
      <c r="B324" s="80"/>
      <c r="C324" s="81">
        <f>SUM(E43,E80,G99,G116,G135,E177,F223,F264,E303)</f>
        <v>1.6726181691843971E-2</v>
      </c>
    </row>
  </sheetData>
  <mergeCells count="9">
    <mergeCell ref="A184:G184"/>
    <mergeCell ref="H211:I223"/>
    <mergeCell ref="H252:I264"/>
    <mergeCell ref="A1:G1"/>
    <mergeCell ref="A5:G5"/>
    <mergeCell ref="A2:G2"/>
    <mergeCell ref="A3:G3"/>
    <mergeCell ref="A84:G84"/>
    <mergeCell ref="A144:G144"/>
  </mergeCells>
  <pageMargins left="0.7" right="0.7" top="0.75" bottom="0.75" header="0.3" footer="0.3"/>
  <pageSetup scale="11" orientation="landscape" r:id="rId1"/>
  <rowBreaks count="2" manualBreakCount="2">
    <brk id="73" max="16383" man="1"/>
    <brk id="12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0DAC23-74EA-4966-95CA-94C11C3EA6F6}">
  <sheetPr>
    <pageSetUpPr fitToPage="1"/>
  </sheetPr>
  <dimension ref="A1:Q327"/>
  <sheetViews>
    <sheetView zoomScale="90" zoomScaleNormal="90" zoomScaleSheetLayoutView="80" workbookViewId="0">
      <selection activeCell="A269" sqref="A269:C269"/>
    </sheetView>
  </sheetViews>
  <sheetFormatPr defaultColWidth="9.08984375" defaultRowHeight="14.5" x14ac:dyDescent="0.35"/>
  <cols>
    <col min="1" max="1" width="35" style="94" customWidth="1"/>
    <col min="2" max="2" width="5.54296875" style="94" customWidth="1"/>
    <col min="3" max="3" width="28" style="94" bestFit="1" customWidth="1"/>
    <col min="4" max="4" width="10" style="94" bestFit="1" customWidth="1"/>
    <col min="5" max="5" width="22" style="94" bestFit="1" customWidth="1"/>
    <col min="6" max="6" width="19.90625" style="94" bestFit="1" customWidth="1"/>
    <col min="7" max="7" width="17" style="94" customWidth="1"/>
    <col min="8" max="8" width="16.6328125" style="94" bestFit="1" customWidth="1"/>
    <col min="9" max="9" width="16.36328125" style="94" bestFit="1" customWidth="1"/>
    <col min="10" max="10" width="16.90625" style="94" bestFit="1" customWidth="1"/>
    <col min="11" max="11" width="14.54296875" style="94" customWidth="1"/>
    <col min="12" max="12" width="14.36328125" style="94" bestFit="1" customWidth="1"/>
    <col min="13" max="13" width="18.90625" style="94" bestFit="1" customWidth="1"/>
    <col min="14" max="14" width="10.54296875" style="94" bestFit="1" customWidth="1"/>
    <col min="15" max="15" width="10.36328125" style="94" bestFit="1" customWidth="1"/>
    <col min="16" max="16" width="17.90625" style="94" bestFit="1" customWidth="1"/>
    <col min="17" max="16384" width="9.08984375" style="94"/>
  </cols>
  <sheetData>
    <row r="1" spans="1:10" x14ac:dyDescent="0.35">
      <c r="A1" s="182" t="s">
        <v>302</v>
      </c>
      <c r="B1" s="182"/>
      <c r="C1" s="182"/>
      <c r="D1" s="182"/>
      <c r="E1" s="182"/>
      <c r="F1" s="182"/>
      <c r="G1" s="182"/>
    </row>
    <row r="2" spans="1:10" x14ac:dyDescent="0.35">
      <c r="A2" s="182" t="s">
        <v>303</v>
      </c>
      <c r="B2" s="182"/>
      <c r="C2" s="182"/>
      <c r="D2" s="182"/>
      <c r="E2" s="182"/>
      <c r="F2" s="182"/>
      <c r="G2" s="182"/>
    </row>
    <row r="3" spans="1:10" x14ac:dyDescent="0.35">
      <c r="A3" s="182" t="s">
        <v>304</v>
      </c>
      <c r="B3" s="182"/>
      <c r="C3" s="182"/>
      <c r="D3" s="182"/>
      <c r="E3" s="182"/>
      <c r="F3" s="182"/>
      <c r="G3" s="182"/>
    </row>
    <row r="8" spans="1:10" ht="15.5" x14ac:dyDescent="0.35">
      <c r="A8" s="183" t="s">
        <v>54</v>
      </c>
      <c r="B8" s="183"/>
      <c r="C8" s="183"/>
      <c r="D8" s="183"/>
      <c r="E8" s="183"/>
      <c r="F8" s="183"/>
      <c r="G8" s="183"/>
      <c r="I8" s="54"/>
      <c r="J8" s="54"/>
    </row>
    <row r="9" spans="1:10" ht="15.5" x14ac:dyDescent="0.35">
      <c r="A9" s="91"/>
      <c r="B9" s="91"/>
      <c r="C9" s="91"/>
      <c r="D9" s="91"/>
      <c r="E9" s="91"/>
      <c r="F9" s="91"/>
      <c r="G9" s="91"/>
      <c r="I9" s="54"/>
      <c r="J9" s="54"/>
    </row>
    <row r="10" spans="1:10" ht="15.5" x14ac:dyDescent="0.35">
      <c r="A10" s="53" t="s">
        <v>53</v>
      </c>
      <c r="B10" s="91"/>
      <c r="C10" s="95"/>
      <c r="D10" s="91"/>
      <c r="E10" s="95"/>
      <c r="F10" s="95"/>
      <c r="G10" s="95"/>
      <c r="H10" s="54"/>
      <c r="I10" s="54"/>
      <c r="J10" s="54"/>
    </row>
    <row r="11" spans="1:10" ht="15.5" x14ac:dyDescent="0.35">
      <c r="A11" s="95"/>
      <c r="B11" s="91"/>
      <c r="C11" s="95"/>
      <c r="D11" s="91"/>
      <c r="E11" s="95"/>
      <c r="F11" s="95"/>
      <c r="G11" s="95"/>
      <c r="H11" s="54"/>
      <c r="I11" s="54"/>
      <c r="J11" s="54"/>
    </row>
    <row r="12" spans="1:10" ht="15.5" x14ac:dyDescent="0.35">
      <c r="A12" s="55" t="s">
        <v>278</v>
      </c>
      <c r="B12" s="91"/>
      <c r="C12" s="96">
        <v>114475107</v>
      </c>
      <c r="D12" s="91"/>
      <c r="E12" s="55"/>
      <c r="F12" s="95"/>
      <c r="G12" s="56"/>
      <c r="H12" s="91"/>
      <c r="I12" s="54"/>
      <c r="J12" s="54"/>
    </row>
    <row r="13" spans="1:10" ht="15.5" hidden="1" x14ac:dyDescent="0.35">
      <c r="A13" s="55"/>
      <c r="B13" s="91"/>
      <c r="C13" s="96"/>
      <c r="D13" s="91"/>
      <c r="E13" s="55"/>
      <c r="F13" s="95"/>
      <c r="G13" s="97"/>
      <c r="H13" s="91"/>
      <c r="I13" s="54"/>
      <c r="J13" s="54"/>
    </row>
    <row r="14" spans="1:10" ht="15.5" x14ac:dyDescent="0.35">
      <c r="A14" s="57" t="s">
        <v>37</v>
      </c>
      <c r="B14" s="91"/>
      <c r="C14" s="98">
        <v>38000000</v>
      </c>
      <c r="D14" s="91"/>
      <c r="E14" s="55"/>
      <c r="F14" s="95"/>
      <c r="G14" s="58"/>
      <c r="H14" s="91"/>
      <c r="I14" s="54"/>
      <c r="J14" s="54"/>
    </row>
    <row r="15" spans="1:10" ht="15.5" x14ac:dyDescent="0.35">
      <c r="A15" s="99" t="s">
        <v>51</v>
      </c>
      <c r="B15" s="91"/>
      <c r="C15" s="100">
        <f>SUM(C12:C14)</f>
        <v>152475107</v>
      </c>
      <c r="D15" s="91"/>
      <c r="E15" s="95"/>
      <c r="F15" s="95"/>
      <c r="G15" s="95"/>
      <c r="H15" s="54"/>
      <c r="I15" s="54"/>
      <c r="J15" s="54"/>
    </row>
    <row r="16" spans="1:10" ht="15.5" x14ac:dyDescent="0.35">
      <c r="A16" s="99"/>
      <c r="B16" s="91"/>
      <c r="C16" s="95"/>
      <c r="D16" s="91"/>
      <c r="E16" s="95"/>
      <c r="F16" s="95"/>
      <c r="G16" s="95"/>
      <c r="H16" s="54"/>
      <c r="I16" s="54"/>
      <c r="J16" s="54"/>
    </row>
    <row r="17" spans="1:13" ht="15.5" x14ac:dyDescent="0.35">
      <c r="A17" s="55"/>
      <c r="B17" s="91"/>
      <c r="C17" s="101"/>
      <c r="D17" s="91"/>
      <c r="E17" s="95"/>
      <c r="F17" s="95"/>
      <c r="G17" s="95"/>
      <c r="H17" s="54"/>
      <c r="I17" s="54"/>
      <c r="J17" s="54"/>
    </row>
    <row r="18" spans="1:13" ht="15.5" x14ac:dyDescent="0.35">
      <c r="A18" s="53"/>
      <c r="B18" s="91"/>
      <c r="C18" s="95"/>
      <c r="D18" s="91"/>
      <c r="E18" s="95"/>
      <c r="F18" s="95"/>
      <c r="G18" s="95"/>
      <c r="H18" s="54"/>
      <c r="I18" s="54"/>
      <c r="J18" s="54"/>
    </row>
    <row r="19" spans="1:13" ht="15.5" x14ac:dyDescent="0.35">
      <c r="A19" s="53" t="s">
        <v>50</v>
      </c>
      <c r="B19" s="91"/>
      <c r="C19" s="95"/>
      <c r="D19" s="91"/>
      <c r="E19" s="95"/>
      <c r="F19" s="95"/>
      <c r="G19" s="95"/>
      <c r="H19" s="54"/>
      <c r="I19" s="54"/>
      <c r="J19" s="54"/>
    </row>
    <row r="20" spans="1:13" ht="39.5" x14ac:dyDescent="0.35">
      <c r="A20" s="99"/>
      <c r="B20" s="91"/>
      <c r="C20" s="59" t="s">
        <v>174</v>
      </c>
      <c r="D20" s="91"/>
      <c r="E20" s="59" t="s">
        <v>49</v>
      </c>
      <c r="F20" s="59" t="s">
        <v>48</v>
      </c>
      <c r="G20" s="59" t="s">
        <v>175</v>
      </c>
      <c r="H20" s="54"/>
      <c r="I20" s="54"/>
      <c r="J20" s="54"/>
    </row>
    <row r="21" spans="1:13" ht="12" customHeight="1" x14ac:dyDescent="0.35">
      <c r="A21" s="99"/>
      <c r="B21" s="91"/>
      <c r="C21" s="95"/>
      <c r="D21" s="91"/>
      <c r="E21" s="95"/>
      <c r="F21" s="95"/>
      <c r="G21" s="95"/>
      <c r="H21" s="54"/>
      <c r="I21" s="54"/>
      <c r="J21" s="54"/>
    </row>
    <row r="22" spans="1:13" ht="12" customHeight="1" x14ac:dyDescent="0.35">
      <c r="A22" s="99" t="s">
        <v>10</v>
      </c>
      <c r="B22" s="91"/>
      <c r="C22" s="102">
        <v>6946724332.6586723</v>
      </c>
      <c r="D22" s="91"/>
      <c r="E22" s="102">
        <v>979598674.09739566</v>
      </c>
      <c r="F22" s="103">
        <f>C22-E22</f>
        <v>5967125658.5612764</v>
      </c>
      <c r="G22" s="104">
        <v>0.32469012958724708</v>
      </c>
      <c r="H22" s="17"/>
      <c r="I22" s="54"/>
    </row>
    <row r="23" spans="1:13" ht="12" customHeight="1" x14ac:dyDescent="0.35">
      <c r="A23" s="99"/>
      <c r="B23" s="91"/>
      <c r="C23" s="102"/>
      <c r="D23" s="91"/>
      <c r="E23" s="105"/>
      <c r="F23" s="103"/>
      <c r="G23" s="104"/>
      <c r="H23" s="18"/>
      <c r="I23" s="19"/>
    </row>
    <row r="24" spans="1:13" ht="12" customHeight="1" x14ac:dyDescent="0.35">
      <c r="A24" s="99" t="s">
        <v>2</v>
      </c>
      <c r="B24" s="91"/>
      <c r="C24" s="102">
        <v>2250085594.0861526</v>
      </c>
      <c r="D24" s="91"/>
      <c r="E24" s="102">
        <v>2848397.9999999972</v>
      </c>
      <c r="F24" s="103">
        <f>C24-E24</f>
        <v>2247237196.0861526</v>
      </c>
      <c r="G24" s="104">
        <v>0.11911757788890198</v>
      </c>
      <c r="H24" s="17"/>
      <c r="I24" s="18"/>
    </row>
    <row r="25" spans="1:13" ht="12" customHeight="1" x14ac:dyDescent="0.35">
      <c r="A25" s="99"/>
      <c r="B25" s="91"/>
      <c r="C25" s="102"/>
      <c r="D25" s="91"/>
      <c r="E25" s="102"/>
      <c r="F25" s="103"/>
      <c r="G25" s="104"/>
      <c r="H25" s="17"/>
      <c r="I25" s="18"/>
    </row>
    <row r="26" spans="1:13" ht="12" customHeight="1" x14ac:dyDescent="0.35">
      <c r="A26" s="99" t="s">
        <v>9</v>
      </c>
      <c r="B26" s="91"/>
      <c r="C26" s="102">
        <v>10181092367.492981</v>
      </c>
      <c r="D26" s="91"/>
      <c r="E26" s="102">
        <v>15702375.999999993</v>
      </c>
      <c r="F26" s="103">
        <f>C26-E26</f>
        <v>10165389991.492981</v>
      </c>
      <c r="G26" s="104">
        <v>0.5397275811009683</v>
      </c>
      <c r="H26" s="17"/>
      <c r="I26" s="18"/>
      <c r="K26" s="92"/>
      <c r="L26" s="2" t="s">
        <v>47</v>
      </c>
      <c r="M26" s="2" t="s">
        <v>46</v>
      </c>
    </row>
    <row r="27" spans="1:13" ht="12" customHeight="1" x14ac:dyDescent="0.35">
      <c r="A27" s="99"/>
      <c r="B27" s="91"/>
      <c r="C27" s="102"/>
      <c r="D27" s="91"/>
      <c r="E27" s="103"/>
      <c r="F27" s="103"/>
      <c r="G27" s="104"/>
      <c r="H27" s="20"/>
      <c r="I27" s="19"/>
      <c r="K27" s="92" t="s">
        <v>45</v>
      </c>
      <c r="L27" s="106">
        <f>C38+C75+F92+F109+F128+C172+C216+C257+C298</f>
        <v>114472053.39240058</v>
      </c>
      <c r="M27" s="1">
        <f>L27/$L$32</f>
        <v>0.37682119811019799</v>
      </c>
    </row>
    <row r="28" spans="1:13" ht="12" customHeight="1" x14ac:dyDescent="0.35">
      <c r="A28" s="99" t="s">
        <v>8</v>
      </c>
      <c r="B28" s="91"/>
      <c r="C28" s="102">
        <v>305054624.73874104</v>
      </c>
      <c r="D28" s="91"/>
      <c r="E28" s="108"/>
      <c r="F28" s="103">
        <f>C28</f>
        <v>305054624.73874104</v>
      </c>
      <c r="G28" s="104">
        <v>1.6464711422882472E-2</v>
      </c>
      <c r="H28" s="17"/>
      <c r="I28" s="18"/>
      <c r="K28" s="92" t="s">
        <v>2</v>
      </c>
      <c r="L28" s="106">
        <f>C40+C77+F94+F111+F130+C174+C218+C259+C300</f>
        <v>35241882.690695584</v>
      </c>
      <c r="M28" s="1">
        <f>L28/$L$32</f>
        <v>0.11600987372563866</v>
      </c>
    </row>
    <row r="29" spans="1:13" ht="12" customHeight="1" x14ac:dyDescent="0.35">
      <c r="A29" s="95"/>
      <c r="B29" s="91"/>
      <c r="C29" s="102"/>
      <c r="D29" s="91"/>
      <c r="E29" s="108"/>
      <c r="F29" s="103"/>
      <c r="G29" s="109"/>
      <c r="H29" s="20"/>
      <c r="I29" s="18"/>
      <c r="K29" s="92" t="s">
        <v>44</v>
      </c>
      <c r="L29" s="106">
        <f>C42+C79+F96+F113+F132+C176+C220+C261+C302</f>
        <v>149398119.25589749</v>
      </c>
      <c r="M29" s="1">
        <f>L29/$L$32</f>
        <v>0.49179146023036979</v>
      </c>
    </row>
    <row r="30" spans="1:13" ht="12" customHeight="1" x14ac:dyDescent="0.35">
      <c r="A30" s="95" t="s">
        <v>0</v>
      </c>
      <c r="B30" s="91"/>
      <c r="C30" s="82">
        <v>84749618</v>
      </c>
      <c r="D30" s="91"/>
      <c r="E30" s="158"/>
      <c r="F30" s="163">
        <v>0</v>
      </c>
      <c r="G30" s="110"/>
      <c r="H30" s="18"/>
      <c r="I30" s="18"/>
      <c r="K30" s="92" t="s">
        <v>1</v>
      </c>
      <c r="L30" s="106">
        <f>C44+C81+F98+F115+F134+C178+C222+C263+C304</f>
        <v>4408670.8889566092</v>
      </c>
      <c r="M30" s="1">
        <f>L30/$L$32</f>
        <v>1.4512543430626256E-2</v>
      </c>
    </row>
    <row r="31" spans="1:13" ht="12" customHeight="1" x14ac:dyDescent="0.35">
      <c r="A31" s="95"/>
      <c r="B31" s="91"/>
      <c r="C31" s="95"/>
      <c r="D31" s="91"/>
      <c r="E31" s="95"/>
      <c r="F31" s="95"/>
      <c r="G31" s="109"/>
      <c r="H31" s="54"/>
      <c r="I31" s="54"/>
      <c r="K31" s="92" t="s">
        <v>43</v>
      </c>
      <c r="L31" s="107">
        <f>F100+F117+F136+F164+C224+C265</f>
        <v>262749.77204969968</v>
      </c>
      <c r="M31" s="1">
        <f>L31/$L$32</f>
        <v>8.6492450316718239E-4</v>
      </c>
    </row>
    <row r="32" spans="1:13" ht="12" customHeight="1" x14ac:dyDescent="0.35">
      <c r="A32" s="95" t="s">
        <v>34</v>
      </c>
      <c r="B32" s="91"/>
      <c r="C32" s="103">
        <f>SUM(C22:C30)</f>
        <v>19767706536.976551</v>
      </c>
      <c r="D32" s="113" t="s">
        <v>33</v>
      </c>
      <c r="E32" s="103">
        <f>SUM(E22:E30)</f>
        <v>998149448.09739566</v>
      </c>
      <c r="F32" s="103">
        <f>SUM(F22:F30)</f>
        <v>18684807470.879154</v>
      </c>
      <c r="G32" s="109">
        <f>SUM(G22:G28)</f>
        <v>0.99999999999999978</v>
      </c>
      <c r="H32" s="54"/>
      <c r="I32" s="54"/>
      <c r="K32" s="92" t="s">
        <v>7</v>
      </c>
      <c r="L32" s="106">
        <f>SUM(L27:L31)</f>
        <v>303783476</v>
      </c>
      <c r="M32" s="92"/>
    </row>
    <row r="33" spans="1:12" ht="12" customHeight="1" x14ac:dyDescent="0.35">
      <c r="A33" s="95"/>
      <c r="B33" s="91"/>
      <c r="C33" s="95"/>
      <c r="D33" s="91"/>
      <c r="E33" s="95"/>
      <c r="H33" s="54"/>
      <c r="I33" s="54"/>
    </row>
    <row r="34" spans="1:12" ht="12" customHeight="1" x14ac:dyDescent="0.35">
      <c r="A34" s="95"/>
      <c r="B34" s="91"/>
      <c r="C34" s="95"/>
      <c r="D34" s="91"/>
      <c r="E34" s="95"/>
      <c r="F34" s="114"/>
      <c r="G34" s="115"/>
      <c r="H34" s="54"/>
      <c r="I34" s="54"/>
      <c r="K34" s="111"/>
      <c r="L34" s="112"/>
    </row>
    <row r="35" spans="1:12" ht="12" customHeight="1" x14ac:dyDescent="0.35">
      <c r="A35" s="53" t="s">
        <v>42</v>
      </c>
      <c r="B35" s="91"/>
      <c r="C35" s="95"/>
      <c r="D35" s="91"/>
      <c r="E35" s="95"/>
      <c r="F35" s="95"/>
      <c r="G35" s="95"/>
      <c r="H35" s="54"/>
      <c r="I35" s="54"/>
    </row>
    <row r="36" spans="1:12" ht="39.5" x14ac:dyDescent="0.35">
      <c r="A36" s="95"/>
      <c r="B36" s="95"/>
      <c r="C36" s="59" t="s">
        <v>41</v>
      </c>
      <c r="D36" s="60"/>
      <c r="E36" s="59" t="s">
        <v>40</v>
      </c>
      <c r="F36" s="95"/>
      <c r="G36" s="95"/>
    </row>
    <row r="37" spans="1:12" ht="12" customHeight="1" x14ac:dyDescent="0.35">
      <c r="A37" s="95"/>
      <c r="B37" s="95"/>
      <c r="C37" s="113"/>
      <c r="D37" s="113"/>
      <c r="E37" s="113"/>
      <c r="F37" s="95"/>
      <c r="G37" s="116"/>
    </row>
    <row r="38" spans="1:12" ht="12" customHeight="1" x14ac:dyDescent="0.35">
      <c r="A38" s="95" t="s">
        <v>10</v>
      </c>
      <c r="B38" s="95"/>
      <c r="C38" s="117">
        <f>$C$15*G22</f>
        <v>49507162.250659361</v>
      </c>
      <c r="D38" s="113"/>
      <c r="E38" s="118">
        <f>C38/F22</f>
        <v>8.2966515343328544E-3</v>
      </c>
      <c r="F38" s="95"/>
      <c r="G38" s="119"/>
    </row>
    <row r="39" spans="1:12" ht="12" customHeight="1" x14ac:dyDescent="0.35">
      <c r="A39" s="95"/>
      <c r="B39" s="95"/>
      <c r="C39" s="117"/>
      <c r="D39" s="113"/>
      <c r="E39" s="118"/>
      <c r="F39" s="95"/>
      <c r="G39" s="95"/>
    </row>
    <row r="40" spans="1:12" ht="12" customHeight="1" x14ac:dyDescent="0.35">
      <c r="A40" s="95" t="s">
        <v>2</v>
      </c>
      <c r="B40" s="95"/>
      <c r="C40" s="117">
        <f>$C$15*G24</f>
        <v>18162465.434191164</v>
      </c>
      <c r="D40" s="113"/>
      <c r="E40" s="118">
        <f>C40/F24</f>
        <v>8.0821310121705851E-3</v>
      </c>
      <c r="F40" s="95"/>
      <c r="G40" s="95"/>
    </row>
    <row r="41" spans="1:12" ht="12" customHeight="1" x14ac:dyDescent="0.35">
      <c r="A41" s="95"/>
      <c r="B41" s="95"/>
      <c r="C41" s="117"/>
      <c r="D41" s="113"/>
      <c r="E41" s="120"/>
      <c r="F41" s="95"/>
      <c r="G41" s="95"/>
    </row>
    <row r="42" spans="1:12" ht="12" customHeight="1" x14ac:dyDescent="0.35">
      <c r="A42" s="95" t="s">
        <v>9</v>
      </c>
      <c r="B42" s="95"/>
      <c r="C42" s="117">
        <f>$C$15*G26</f>
        <v>82295020.679221317</v>
      </c>
      <c r="D42" s="113"/>
      <c r="E42" s="118">
        <f>C42/F26</f>
        <v>8.0956088008517935E-3</v>
      </c>
      <c r="F42" s="95"/>
      <c r="G42" s="95"/>
    </row>
    <row r="43" spans="1:12" ht="12" customHeight="1" x14ac:dyDescent="0.35">
      <c r="A43" s="95"/>
      <c r="B43" s="95"/>
      <c r="C43" s="117"/>
      <c r="D43" s="113"/>
      <c r="E43" s="118"/>
      <c r="F43" s="95"/>
      <c r="G43" s="95"/>
    </row>
    <row r="44" spans="1:12" ht="12" customHeight="1" x14ac:dyDescent="0.35">
      <c r="A44" s="95" t="s">
        <v>8</v>
      </c>
      <c r="B44" s="95"/>
      <c r="C44" s="121">
        <f>$C$15*G28</f>
        <v>2510458.635928127</v>
      </c>
      <c r="D44" s="113"/>
      <c r="E44" s="122">
        <f>C44/F28</f>
        <v>8.2295380313547693E-3</v>
      </c>
      <c r="F44" s="95"/>
      <c r="G44" s="95"/>
    </row>
    <row r="45" spans="1:12" ht="12" customHeight="1" x14ac:dyDescent="0.35">
      <c r="A45" s="95"/>
      <c r="B45" s="95"/>
      <c r="C45" s="117"/>
      <c r="D45" s="113"/>
      <c r="E45" s="118"/>
      <c r="F45" s="95"/>
      <c r="G45" s="95"/>
    </row>
    <row r="46" spans="1:12" ht="12" customHeight="1" x14ac:dyDescent="0.35">
      <c r="A46" s="99" t="s">
        <v>29</v>
      </c>
      <c r="B46" s="95"/>
      <c r="C46" s="117">
        <f>SUM(C38:C45)</f>
        <v>152475106.99999997</v>
      </c>
      <c r="D46" s="113"/>
      <c r="E46" s="61">
        <f>C46/F32</f>
        <v>8.1603788124462676E-3</v>
      </c>
      <c r="F46" s="95"/>
      <c r="G46" s="95"/>
    </row>
    <row r="47" spans="1:12" ht="12" customHeight="1" x14ac:dyDescent="0.35">
      <c r="A47" s="95"/>
      <c r="B47" s="91"/>
      <c r="C47" s="95"/>
      <c r="D47" s="91"/>
      <c r="E47" s="95"/>
      <c r="F47" s="123"/>
      <c r="G47" s="124"/>
      <c r="H47" s="54"/>
      <c r="I47" s="54"/>
      <c r="J47" s="54"/>
    </row>
    <row r="48" spans="1:12" ht="12" customHeight="1" x14ac:dyDescent="0.35">
      <c r="A48" s="55"/>
      <c r="B48" s="55"/>
      <c r="C48" s="115"/>
      <c r="D48" s="95"/>
      <c r="E48" s="95"/>
      <c r="F48" s="95"/>
      <c r="G48" s="95"/>
    </row>
    <row r="49" spans="1:16" ht="12" customHeight="1" x14ac:dyDescent="0.35">
      <c r="A49" s="95"/>
      <c r="B49" s="95"/>
      <c r="C49" s="95"/>
      <c r="D49" s="95"/>
      <c r="E49" s="95"/>
      <c r="F49" s="95"/>
      <c r="G49" s="95"/>
    </row>
    <row r="50" spans="1:16" ht="15.75" customHeight="1" x14ac:dyDescent="0.35">
      <c r="A50" s="53" t="s">
        <v>39</v>
      </c>
      <c r="B50" s="95"/>
      <c r="C50" s="95"/>
      <c r="D50" s="95"/>
      <c r="E50" s="95"/>
      <c r="F50" s="95"/>
      <c r="G50" s="95"/>
    </row>
    <row r="51" spans="1:16" x14ac:dyDescent="0.35">
      <c r="A51" s="95"/>
      <c r="B51" s="95"/>
      <c r="C51" s="95"/>
      <c r="D51" s="95"/>
      <c r="E51" s="95"/>
      <c r="F51" s="95"/>
      <c r="G51" s="95"/>
    </row>
    <row r="52" spans="1:16" x14ac:dyDescent="0.35">
      <c r="A52" s="55" t="s">
        <v>38</v>
      </c>
      <c r="B52" s="95"/>
      <c r="C52" s="125">
        <v>15828947</v>
      </c>
      <c r="D52" s="95"/>
      <c r="E52" s="95"/>
      <c r="F52" s="95"/>
      <c r="G52" s="95"/>
    </row>
    <row r="53" spans="1:16" x14ac:dyDescent="0.35">
      <c r="A53" s="126" t="s">
        <v>37</v>
      </c>
      <c r="B53" s="95"/>
      <c r="C53" s="127">
        <v>-10000000</v>
      </c>
      <c r="D53" s="95"/>
      <c r="E53" s="95"/>
      <c r="F53" s="95"/>
      <c r="G53" s="95"/>
    </row>
    <row r="54" spans="1:16" x14ac:dyDescent="0.35">
      <c r="A54" s="55" t="s">
        <v>36</v>
      </c>
      <c r="B54" s="95"/>
      <c r="C54" s="128">
        <f>SUM(C52:C53)</f>
        <v>5828947</v>
      </c>
      <c r="D54" s="95"/>
      <c r="E54" s="95"/>
      <c r="F54" s="95"/>
      <c r="G54" s="95"/>
    </row>
    <row r="55" spans="1:16" x14ac:dyDescent="0.35">
      <c r="A55" s="95"/>
      <c r="B55" s="95"/>
      <c r="C55" s="95"/>
      <c r="D55" s="95"/>
      <c r="E55" s="95"/>
      <c r="F55" s="95"/>
      <c r="G55" s="95"/>
    </row>
    <row r="56" spans="1:16" x14ac:dyDescent="0.35">
      <c r="A56" s="95"/>
      <c r="B56" s="95"/>
      <c r="C56" s="95"/>
      <c r="D56" s="95"/>
      <c r="E56" s="95"/>
      <c r="F56" s="95"/>
      <c r="G56" s="95"/>
    </row>
    <row r="57" spans="1:16" ht="39" customHeight="1" x14ac:dyDescent="0.35">
      <c r="A57" s="95"/>
      <c r="B57" s="95"/>
      <c r="C57" s="59" t="str">
        <f>$C$20</f>
        <v>2016 GRC P2 Sales TY 2018
(kWh)</v>
      </c>
      <c r="D57" s="60"/>
      <c r="E57" s="59" t="s">
        <v>35</v>
      </c>
      <c r="F57" s="59" t="s">
        <v>175</v>
      </c>
      <c r="G57" s="95"/>
      <c r="I57" s="54"/>
      <c r="J57" s="54"/>
      <c r="K57" s="54"/>
      <c r="L57" s="54"/>
      <c r="M57" s="54"/>
      <c r="N57" s="54"/>
      <c r="O57" s="54"/>
      <c r="P57" s="54"/>
    </row>
    <row r="58" spans="1:16" ht="15.5" x14ac:dyDescent="0.35">
      <c r="A58" s="95"/>
      <c r="B58" s="95"/>
      <c r="C58" s="95"/>
      <c r="D58" s="95"/>
      <c r="E58" s="95"/>
      <c r="F58" s="113"/>
      <c r="G58" s="95"/>
      <c r="I58" s="54"/>
      <c r="J58" s="54"/>
      <c r="K58" s="54"/>
      <c r="L58" s="54"/>
      <c r="M58" s="54"/>
      <c r="N58" s="54"/>
      <c r="O58" s="54"/>
      <c r="P58" s="54"/>
    </row>
    <row r="59" spans="1:16" ht="15.5" x14ac:dyDescent="0.35">
      <c r="A59" s="95" t="s">
        <v>10</v>
      </c>
      <c r="B59" s="95"/>
      <c r="C59" s="102">
        <v>6946724332.6586723</v>
      </c>
      <c r="D59" s="95"/>
      <c r="E59" s="103">
        <f>C59</f>
        <v>6946724332.6586723</v>
      </c>
      <c r="F59" s="104">
        <v>0.36151633453219451</v>
      </c>
      <c r="G59" s="95"/>
      <c r="I59" s="54"/>
      <c r="J59" s="54"/>
      <c r="K59" s="54"/>
      <c r="L59" s="54"/>
      <c r="M59" s="54"/>
      <c r="N59" s="54"/>
      <c r="O59" s="54"/>
      <c r="P59" s="54"/>
    </row>
    <row r="60" spans="1:16" ht="15.5" x14ac:dyDescent="0.35">
      <c r="A60" s="95"/>
      <c r="B60" s="95"/>
      <c r="C60" s="102"/>
      <c r="D60" s="95"/>
      <c r="E60" s="103"/>
      <c r="F60" s="109"/>
      <c r="G60" s="95"/>
      <c r="I60" s="54"/>
      <c r="J60" s="54"/>
      <c r="K60" s="54"/>
      <c r="L60" s="54"/>
      <c r="M60" s="54"/>
      <c r="N60" s="54"/>
      <c r="O60" s="54"/>
      <c r="P60" s="54"/>
    </row>
    <row r="61" spans="1:16" ht="15.5" x14ac:dyDescent="0.35">
      <c r="A61" s="95" t="s">
        <v>2</v>
      </c>
      <c r="B61" s="95"/>
      <c r="C61" s="102">
        <v>2250085594.0861526</v>
      </c>
      <c r="D61" s="95"/>
      <c r="E61" s="103">
        <f>C61</f>
        <v>2250085594.0861526</v>
      </c>
      <c r="F61" s="104">
        <v>0.11259841004657432</v>
      </c>
      <c r="G61" s="95"/>
      <c r="I61" s="54"/>
      <c r="J61" s="54"/>
      <c r="K61" s="54"/>
      <c r="L61" s="54"/>
      <c r="M61" s="54"/>
      <c r="N61" s="54"/>
      <c r="O61" s="54"/>
      <c r="P61" s="54"/>
    </row>
    <row r="62" spans="1:16" ht="15.5" x14ac:dyDescent="0.35">
      <c r="A62" s="95"/>
      <c r="B62" s="95"/>
      <c r="C62" s="102"/>
      <c r="D62" s="95"/>
      <c r="E62" s="103"/>
      <c r="F62" s="109"/>
      <c r="G62" s="95"/>
      <c r="I62" s="54"/>
      <c r="J62" s="54"/>
      <c r="K62" s="54"/>
      <c r="L62" s="54"/>
      <c r="M62" s="54"/>
      <c r="N62" s="54"/>
      <c r="O62" s="54"/>
      <c r="P62" s="54"/>
    </row>
    <row r="63" spans="1:16" ht="15.5" x14ac:dyDescent="0.35">
      <c r="A63" s="95" t="s">
        <v>9</v>
      </c>
      <c r="B63" s="95"/>
      <c r="C63" s="102">
        <v>10181092367.492981</v>
      </c>
      <c r="D63" s="95"/>
      <c r="E63" s="103">
        <f>C63</f>
        <v>10181092367.492981</v>
      </c>
      <c r="F63" s="104">
        <v>0.51034146250338597</v>
      </c>
      <c r="G63" s="95"/>
      <c r="I63" s="54"/>
      <c r="J63" s="54"/>
      <c r="K63" s="54"/>
      <c r="L63" s="54"/>
      <c r="M63" s="54"/>
      <c r="N63" s="54"/>
      <c r="O63" s="54"/>
      <c r="P63" s="54"/>
    </row>
    <row r="64" spans="1:16" ht="15.5" x14ac:dyDescent="0.35">
      <c r="A64" s="95"/>
      <c r="B64" s="95"/>
      <c r="C64" s="102"/>
      <c r="D64" s="95"/>
      <c r="E64" s="103"/>
      <c r="F64" s="109"/>
      <c r="G64" s="95"/>
      <c r="I64" s="54"/>
      <c r="J64" s="54"/>
      <c r="K64" s="54"/>
      <c r="L64" s="54"/>
      <c r="M64" s="54"/>
      <c r="N64" s="54"/>
      <c r="O64" s="54"/>
      <c r="P64" s="54"/>
    </row>
    <row r="65" spans="1:16" ht="15.5" x14ac:dyDescent="0.35">
      <c r="A65" s="95" t="s">
        <v>8</v>
      </c>
      <c r="B65" s="95"/>
      <c r="C65" s="102">
        <v>305054624.73874104</v>
      </c>
      <c r="D65" s="95"/>
      <c r="E65" s="103">
        <f>C65</f>
        <v>305054624.73874104</v>
      </c>
      <c r="F65" s="104">
        <v>1.5543792917845268E-2</v>
      </c>
      <c r="G65" s="95"/>
      <c r="I65" s="54"/>
      <c r="J65" s="54"/>
      <c r="K65" s="54"/>
      <c r="L65" s="54"/>
      <c r="M65" s="54"/>
      <c r="N65" s="54"/>
      <c r="O65" s="54"/>
      <c r="P65" s="54"/>
    </row>
    <row r="66" spans="1:16" ht="15.5" x14ac:dyDescent="0.35">
      <c r="A66" s="95"/>
      <c r="B66" s="95"/>
      <c r="C66" s="102"/>
      <c r="D66" s="95"/>
      <c r="E66" s="103"/>
      <c r="F66" s="109"/>
      <c r="G66" s="95"/>
      <c r="I66" s="54"/>
      <c r="J66" s="54"/>
      <c r="K66" s="54"/>
      <c r="L66" s="54"/>
      <c r="M66" s="54"/>
      <c r="N66" s="54"/>
      <c r="O66" s="54"/>
      <c r="P66" s="54"/>
    </row>
    <row r="67" spans="1:16" ht="15.5" x14ac:dyDescent="0.35">
      <c r="A67" s="95" t="s">
        <v>0</v>
      </c>
      <c r="B67" s="95"/>
      <c r="C67" s="82">
        <v>84749618</v>
      </c>
      <c r="D67" s="95"/>
      <c r="E67" s="163">
        <v>0</v>
      </c>
      <c r="F67" s="110"/>
      <c r="G67" s="95"/>
      <c r="I67" s="54"/>
      <c r="J67" s="54"/>
      <c r="K67" s="54"/>
      <c r="L67" s="54"/>
      <c r="M67" s="54"/>
      <c r="N67" s="54"/>
      <c r="O67" s="54"/>
      <c r="P67" s="54"/>
    </row>
    <row r="68" spans="1:16" ht="15.5" x14ac:dyDescent="0.35">
      <c r="A68" s="95"/>
      <c r="B68" s="95"/>
      <c r="C68" s="95"/>
      <c r="D68" s="95"/>
      <c r="E68" s="95"/>
      <c r="F68" s="109"/>
      <c r="G68" s="95"/>
      <c r="I68" s="54"/>
      <c r="J68" s="54"/>
      <c r="K68" s="54"/>
      <c r="L68" s="54"/>
      <c r="M68" s="54"/>
      <c r="N68" s="54"/>
      <c r="O68" s="54"/>
      <c r="P68" s="54"/>
    </row>
    <row r="69" spans="1:16" ht="15.5" x14ac:dyDescent="0.35">
      <c r="A69" s="95" t="s">
        <v>34</v>
      </c>
      <c r="B69" s="95"/>
      <c r="C69" s="102">
        <v>19767706536.976551</v>
      </c>
      <c r="D69" s="113" t="s">
        <v>33</v>
      </c>
      <c r="E69" s="103">
        <f>SUM(E59:E67)</f>
        <v>19682956918.976551</v>
      </c>
      <c r="F69" s="109">
        <f>SUM(F59:F67)</f>
        <v>1</v>
      </c>
      <c r="G69" s="95"/>
      <c r="I69" s="54"/>
      <c r="J69" s="54"/>
      <c r="K69" s="54"/>
      <c r="L69" s="54"/>
      <c r="M69" s="54"/>
      <c r="N69" s="54"/>
      <c r="O69" s="54"/>
      <c r="P69" s="54"/>
    </row>
    <row r="70" spans="1:16" ht="15.5" x14ac:dyDescent="0.35">
      <c r="A70" s="95"/>
      <c r="B70" s="95"/>
      <c r="C70" s="95"/>
      <c r="D70" s="95"/>
      <c r="G70" s="95"/>
      <c r="I70" s="54"/>
      <c r="J70" s="54"/>
      <c r="K70" s="54"/>
      <c r="L70" s="54"/>
      <c r="M70" s="54"/>
      <c r="N70" s="54"/>
      <c r="O70" s="54"/>
      <c r="P70" s="54"/>
    </row>
    <row r="71" spans="1:16" ht="15.5" x14ac:dyDescent="0.35">
      <c r="A71" s="95"/>
      <c r="B71" s="95"/>
      <c r="C71" s="95"/>
      <c r="D71" s="95"/>
      <c r="E71" s="114"/>
      <c r="F71" s="115"/>
      <c r="G71" s="95"/>
      <c r="I71" s="54"/>
      <c r="J71" s="54"/>
      <c r="K71" s="54"/>
      <c r="L71" s="54"/>
      <c r="M71" s="54"/>
      <c r="N71" s="54"/>
      <c r="O71" s="54"/>
      <c r="P71" s="54"/>
    </row>
    <row r="72" spans="1:16" x14ac:dyDescent="0.35">
      <c r="A72" s="53" t="s">
        <v>32</v>
      </c>
      <c r="B72" s="95"/>
      <c r="C72" s="95"/>
      <c r="D72" s="95"/>
      <c r="E72" s="95"/>
      <c r="F72" s="95"/>
      <c r="G72" s="95"/>
    </row>
    <row r="73" spans="1:16" ht="39.5" x14ac:dyDescent="0.35">
      <c r="A73" s="95"/>
      <c r="B73" s="95"/>
      <c r="C73" s="59" t="s">
        <v>31</v>
      </c>
      <c r="D73" s="60"/>
      <c r="E73" s="59" t="s">
        <v>30</v>
      </c>
      <c r="F73" s="95"/>
      <c r="G73" s="95"/>
    </row>
    <row r="74" spans="1:16" x14ac:dyDescent="0.35">
      <c r="A74" s="95"/>
      <c r="B74" s="95"/>
      <c r="C74" s="95"/>
      <c r="D74" s="95"/>
      <c r="E74" s="95"/>
      <c r="F74" s="116"/>
      <c r="G74" s="95"/>
    </row>
    <row r="75" spans="1:16" x14ac:dyDescent="0.35">
      <c r="A75" s="95" t="s">
        <v>10</v>
      </c>
      <c r="B75" s="95"/>
      <c r="C75" s="130">
        <f>$C$54*F59</f>
        <v>2107259.5536224316</v>
      </c>
      <c r="D75" s="113"/>
      <c r="E75" s="118">
        <f>C75/E59</f>
        <v>3.0334578611613546E-4</v>
      </c>
      <c r="F75" s="119"/>
      <c r="G75" s="95"/>
    </row>
    <row r="76" spans="1:16" x14ac:dyDescent="0.35">
      <c r="A76" s="95"/>
      <c r="B76" s="95"/>
      <c r="C76" s="117"/>
      <c r="D76" s="113"/>
      <c r="E76" s="118"/>
      <c r="F76" s="95"/>
      <c r="G76" s="95"/>
    </row>
    <row r="77" spans="1:16" x14ac:dyDescent="0.35">
      <c r="A77" s="95" t="s">
        <v>2</v>
      </c>
      <c r="B77" s="95"/>
      <c r="C77" s="117">
        <f>$C$54*F61</f>
        <v>656330.16444574925</v>
      </c>
      <c r="D77" s="113"/>
      <c r="E77" s="118">
        <f>C77/E61</f>
        <v>2.9169119884628678E-4</v>
      </c>
      <c r="F77" s="95"/>
      <c r="G77" s="95"/>
    </row>
    <row r="78" spans="1:16" x14ac:dyDescent="0.35">
      <c r="A78" s="95"/>
      <c r="B78" s="95"/>
      <c r="C78" s="117"/>
      <c r="D78" s="113"/>
      <c r="E78" s="118"/>
      <c r="F78" s="95"/>
      <c r="G78" s="95"/>
    </row>
    <row r="79" spans="1:16" x14ac:dyDescent="0.35">
      <c r="A79" s="95" t="s">
        <v>9</v>
      </c>
      <c r="B79" s="95"/>
      <c r="C79" s="130">
        <f>$C$54*F63</f>
        <v>2974753.3368347241</v>
      </c>
      <c r="D79" s="113"/>
      <c r="E79" s="118">
        <f>C79/E63</f>
        <v>2.9218410259519484E-4</v>
      </c>
      <c r="F79" s="95"/>
      <c r="G79" s="95"/>
    </row>
    <row r="80" spans="1:16" x14ac:dyDescent="0.35">
      <c r="A80" s="95"/>
      <c r="B80" s="95"/>
      <c r="C80" s="117"/>
      <c r="D80" s="113"/>
      <c r="E80" s="118"/>
      <c r="F80" s="95"/>
      <c r="G80" s="95"/>
    </row>
    <row r="81" spans="1:10" x14ac:dyDescent="0.35">
      <c r="A81" s="95" t="s">
        <v>8</v>
      </c>
      <c r="B81" s="95"/>
      <c r="C81" s="131">
        <f>$C$54*F65</f>
        <v>90603.94509709542</v>
      </c>
      <c r="D81" s="113"/>
      <c r="E81" s="122">
        <f>C81/E65</f>
        <v>2.9700892151591428E-4</v>
      </c>
      <c r="F81" s="95"/>
      <c r="G81" s="95"/>
    </row>
    <row r="82" spans="1:10" x14ac:dyDescent="0.35">
      <c r="A82" s="95"/>
      <c r="B82" s="95"/>
      <c r="C82" s="117"/>
      <c r="D82" s="113"/>
      <c r="E82" s="118"/>
      <c r="F82" s="95"/>
      <c r="G82" s="95"/>
    </row>
    <row r="83" spans="1:10" x14ac:dyDescent="0.35">
      <c r="A83" s="99" t="s">
        <v>29</v>
      </c>
      <c r="B83" s="95"/>
      <c r="C83" s="117">
        <f>SUM(C75:C81)</f>
        <v>5828947</v>
      </c>
      <c r="D83" s="113"/>
      <c r="E83" s="118">
        <f>C83/E69</f>
        <v>2.961418360053539E-4</v>
      </c>
      <c r="F83" s="95"/>
      <c r="G83" s="95"/>
    </row>
    <row r="84" spans="1:10" x14ac:dyDescent="0.35">
      <c r="F84" s="95"/>
      <c r="G84" s="95"/>
    </row>
    <row r="85" spans="1:10" x14ac:dyDescent="0.35">
      <c r="A85" s="55"/>
      <c r="B85" s="55"/>
      <c r="C85" s="115"/>
      <c r="D85" s="95"/>
      <c r="E85" s="95"/>
      <c r="F85" s="95"/>
      <c r="G85" s="95"/>
    </row>
    <row r="86" spans="1:10" x14ac:dyDescent="0.35">
      <c r="D86" s="95"/>
      <c r="E86" s="95"/>
      <c r="F86" s="95"/>
      <c r="G86" s="95"/>
    </row>
    <row r="87" spans="1:10" ht="15.5" x14ac:dyDescent="0.35">
      <c r="A87" s="183" t="s">
        <v>28</v>
      </c>
      <c r="B87" s="183"/>
      <c r="C87" s="183"/>
      <c r="D87" s="183"/>
      <c r="E87" s="183"/>
      <c r="F87" s="183"/>
      <c r="G87" s="183"/>
    </row>
    <row r="88" spans="1:10" x14ac:dyDescent="0.35">
      <c r="A88" s="95"/>
      <c r="B88" s="95"/>
      <c r="C88" s="95"/>
      <c r="D88" s="95"/>
      <c r="E88" s="95"/>
      <c r="F88" s="95"/>
      <c r="G88" s="95"/>
    </row>
    <row r="89" spans="1:10" ht="15.75" customHeight="1" x14ac:dyDescent="0.35">
      <c r="A89" s="53" t="s">
        <v>27</v>
      </c>
      <c r="B89" s="95"/>
      <c r="C89" s="95"/>
      <c r="D89" s="95"/>
      <c r="E89" s="95"/>
      <c r="F89" s="95"/>
      <c r="G89" s="95"/>
    </row>
    <row r="90" spans="1:10" ht="56.25" customHeight="1" x14ac:dyDescent="0.35">
      <c r="A90" s="99"/>
      <c r="B90" s="95"/>
      <c r="C90" s="59" t="str">
        <f>$C$20</f>
        <v>2016 GRC P2 Sales TY 2018
(kWh)</v>
      </c>
      <c r="D90" s="95"/>
      <c r="E90" s="59" t="s">
        <v>175</v>
      </c>
      <c r="F90" s="59" t="s">
        <v>26</v>
      </c>
      <c r="G90" s="59" t="s">
        <v>25</v>
      </c>
    </row>
    <row r="91" spans="1:10" x14ac:dyDescent="0.35">
      <c r="A91" s="99"/>
      <c r="B91" s="95"/>
      <c r="C91" s="62"/>
      <c r="D91" s="95"/>
      <c r="E91" s="62"/>
      <c r="F91" s="62"/>
      <c r="G91" s="95"/>
    </row>
    <row r="92" spans="1:10" x14ac:dyDescent="0.35">
      <c r="A92" s="99" t="s">
        <v>10</v>
      </c>
      <c r="B92" s="95"/>
      <c r="C92" s="102">
        <v>6946724332.6586723</v>
      </c>
      <c r="D92" s="95"/>
      <c r="E92" s="104">
        <v>0.35991938342165714</v>
      </c>
      <c r="F92" s="124">
        <f>E92*F$102</f>
        <v>6168222.8100098418</v>
      </c>
      <c r="G92" s="118">
        <f>F92/C92</f>
        <v>8.8793257291226355E-4</v>
      </c>
      <c r="H92" s="132"/>
      <c r="J92" s="133"/>
    </row>
    <row r="93" spans="1:10" x14ac:dyDescent="0.35">
      <c r="A93" s="99"/>
      <c r="B93" s="95"/>
      <c r="C93" s="102"/>
      <c r="D93" s="95"/>
      <c r="E93" s="104"/>
      <c r="F93" s="124"/>
      <c r="G93" s="118"/>
      <c r="H93" s="132"/>
    </row>
    <row r="94" spans="1:10" x14ac:dyDescent="0.35">
      <c r="A94" s="99" t="s">
        <v>2</v>
      </c>
      <c r="B94" s="95"/>
      <c r="C94" s="102">
        <v>2250085594.0861526</v>
      </c>
      <c r="D94" s="95"/>
      <c r="E94" s="104">
        <v>0.1121010213014674</v>
      </c>
      <c r="F94" s="124">
        <f>E94*F$102</f>
        <v>1921163.7618500751</v>
      </c>
      <c r="G94" s="118">
        <f>F94/C94</f>
        <v>8.5381808003189962E-4</v>
      </c>
      <c r="H94" s="132"/>
      <c r="J94" s="133"/>
    </row>
    <row r="95" spans="1:10" x14ac:dyDescent="0.35">
      <c r="A95" s="99"/>
      <c r="B95" s="95"/>
      <c r="C95" s="102"/>
      <c r="D95" s="95"/>
      <c r="E95" s="104"/>
      <c r="F95" s="124"/>
      <c r="G95" s="118"/>
      <c r="H95" s="132"/>
    </row>
    <row r="96" spans="1:10" x14ac:dyDescent="0.35">
      <c r="A96" s="99" t="s">
        <v>9</v>
      </c>
      <c r="B96" s="95"/>
      <c r="C96" s="102">
        <v>10181092367.492981</v>
      </c>
      <c r="D96" s="95"/>
      <c r="E96" s="104">
        <v>0.50808709586085887</v>
      </c>
      <c r="F96" s="124">
        <f>E96*F$102</f>
        <v>8707489.9505732693</v>
      </c>
      <c r="G96" s="118">
        <f>F96/C96</f>
        <v>8.5526087341818559E-4</v>
      </c>
      <c r="H96" s="132"/>
      <c r="J96" s="133"/>
    </row>
    <row r="97" spans="1:16" x14ac:dyDescent="0.35">
      <c r="A97" s="99"/>
      <c r="B97" s="95"/>
      <c r="C97" s="102"/>
      <c r="D97" s="95"/>
      <c r="E97" s="104"/>
      <c r="F97" s="124"/>
      <c r="G97" s="118"/>
      <c r="H97" s="132"/>
    </row>
    <row r="98" spans="1:16" x14ac:dyDescent="0.35">
      <c r="A98" s="99" t="s">
        <v>8</v>
      </c>
      <c r="B98" s="95"/>
      <c r="C98" s="102">
        <v>305054624.73874104</v>
      </c>
      <c r="D98" s="95"/>
      <c r="E98" s="104">
        <v>1.5475130246228404E-2</v>
      </c>
      <c r="F98" s="124">
        <f>E98*F$102</f>
        <v>265209.53238251066</v>
      </c>
      <c r="G98" s="118">
        <f>F98/C98</f>
        <v>8.6938374597547881E-4</v>
      </c>
      <c r="H98" s="132"/>
      <c r="J98" s="133"/>
    </row>
    <row r="99" spans="1:16" x14ac:dyDescent="0.35">
      <c r="A99" s="99"/>
      <c r="B99" s="95"/>
      <c r="C99" s="102"/>
      <c r="D99" s="95"/>
      <c r="E99" s="104"/>
      <c r="F99" s="124"/>
      <c r="G99" s="118"/>
      <c r="H99" s="132"/>
    </row>
    <row r="100" spans="1:16" x14ac:dyDescent="0.35">
      <c r="A100" s="99" t="s">
        <v>0</v>
      </c>
      <c r="B100" s="95"/>
      <c r="C100" s="82">
        <v>84749618</v>
      </c>
      <c r="D100" s="95"/>
      <c r="E100" s="134">
        <v>4.4173691697880326E-3</v>
      </c>
      <c r="F100" s="135">
        <f>E100*F$102</f>
        <v>75703.945184301643</v>
      </c>
      <c r="G100" s="122">
        <f>F100/C100</f>
        <v>8.9326591636438581E-4</v>
      </c>
      <c r="H100" s="132"/>
      <c r="J100" s="133"/>
    </row>
    <row r="101" spans="1:16" x14ac:dyDescent="0.35">
      <c r="A101" s="99"/>
      <c r="B101" s="95"/>
      <c r="C101" s="108"/>
      <c r="D101" s="95"/>
      <c r="E101" s="136"/>
      <c r="F101" s="124"/>
      <c r="G101" s="118"/>
      <c r="H101" s="132"/>
    </row>
    <row r="102" spans="1:16" x14ac:dyDescent="0.35">
      <c r="A102" s="99" t="s">
        <v>7</v>
      </c>
      <c r="B102" s="95"/>
      <c r="C102" s="102">
        <v>19767706536.976551</v>
      </c>
      <c r="D102" s="95"/>
      <c r="E102" s="136">
        <f>SUM(E92:E100)</f>
        <v>0.99999999999999989</v>
      </c>
      <c r="F102" s="67">
        <v>17137790</v>
      </c>
      <c r="G102" s="118">
        <f>F102/C102</f>
        <v>8.6695894477909451E-4</v>
      </c>
      <c r="I102" s="137"/>
      <c r="J102" s="137"/>
    </row>
    <row r="103" spans="1:16" x14ac:dyDescent="0.35">
      <c r="A103" s="99"/>
      <c r="B103" s="95"/>
      <c r="C103" s="108"/>
      <c r="D103" s="95"/>
      <c r="F103" s="124"/>
      <c r="G103" s="138"/>
    </row>
    <row r="104" spans="1:16" x14ac:dyDescent="0.35">
      <c r="A104" s="99"/>
      <c r="B104" s="95"/>
      <c r="C104" s="55"/>
      <c r="D104" s="95"/>
      <c r="E104" s="115"/>
      <c r="F104" s="115"/>
      <c r="G104" s="138"/>
    </row>
    <row r="105" spans="1:16" x14ac:dyDescent="0.35">
      <c r="A105" s="99"/>
      <c r="B105" s="95"/>
      <c r="C105" s="95"/>
      <c r="D105" s="95"/>
      <c r="E105" s="95"/>
      <c r="F105" s="95"/>
      <c r="G105" s="138"/>
    </row>
    <row r="106" spans="1:16" ht="15.75" customHeight="1" x14ac:dyDescent="0.35">
      <c r="A106" s="53" t="s">
        <v>24</v>
      </c>
      <c r="B106" s="95"/>
      <c r="C106" s="95"/>
      <c r="D106" s="95"/>
      <c r="E106" s="95"/>
      <c r="F106" s="95"/>
      <c r="G106" s="95"/>
    </row>
    <row r="107" spans="1:16" ht="52.5" x14ac:dyDescent="0.35">
      <c r="A107" s="99"/>
      <c r="B107" s="95"/>
      <c r="C107" s="59" t="str">
        <f>$C$20</f>
        <v>2016 GRC P2 Sales TY 2018
(kWh)</v>
      </c>
      <c r="D107" s="95"/>
      <c r="E107" s="59" t="s">
        <v>175</v>
      </c>
      <c r="F107" s="59" t="s">
        <v>23</v>
      </c>
      <c r="G107" s="59" t="s">
        <v>22</v>
      </c>
      <c r="H107" s="59" t="s">
        <v>21</v>
      </c>
      <c r="I107" s="63" t="s">
        <v>20</v>
      </c>
      <c r="J107" s="59" t="s">
        <v>16</v>
      </c>
      <c r="K107" s="63" t="s">
        <v>19</v>
      </c>
      <c r="L107" s="59" t="s">
        <v>18</v>
      </c>
      <c r="M107" s="126"/>
      <c r="N107" s="126"/>
      <c r="O107" s="64" t="s">
        <v>17</v>
      </c>
      <c r="P107" s="59" t="s">
        <v>15</v>
      </c>
    </row>
    <row r="108" spans="1:16" x14ac:dyDescent="0.35">
      <c r="A108" s="99"/>
      <c r="B108" s="95"/>
      <c r="C108" s="62"/>
      <c r="D108" s="95"/>
      <c r="E108" s="62"/>
      <c r="F108" s="62"/>
      <c r="G108" s="138"/>
      <c r="J108" s="65"/>
      <c r="L108" s="65"/>
    </row>
    <row r="109" spans="1:16" x14ac:dyDescent="0.35">
      <c r="A109" s="99" t="s">
        <v>10</v>
      </c>
      <c r="B109" s="95"/>
      <c r="C109" s="102">
        <v>6946724332.6586723</v>
      </c>
      <c r="D109" s="95"/>
      <c r="E109" s="104">
        <v>0.46049962911213632</v>
      </c>
      <c r="F109" s="124">
        <f>E109*F$119</f>
        <v>0</v>
      </c>
      <c r="G109" s="118">
        <f>F109/C109</f>
        <v>0</v>
      </c>
      <c r="H109" s="118">
        <f>G92+G109</f>
        <v>8.8793257291226355E-4</v>
      </c>
      <c r="I109" s="139">
        <v>3.0599999999999998E-3</v>
      </c>
      <c r="J109" s="140">
        <f>H109-I109</f>
        <v>-2.1720674270877365E-3</v>
      </c>
      <c r="K109" s="141">
        <f>IF(J109&lt;0,0,J109*C109)</f>
        <v>0</v>
      </c>
      <c r="L109" s="142">
        <f>IF(K109=0,F109,0)</f>
        <v>0</v>
      </c>
      <c r="M109" s="143">
        <f>IF(K109=0,IFERROR((L109/L$119),0),0)</f>
        <v>0</v>
      </c>
      <c r="N109" s="144">
        <f>IF(K109=0,(K$119*M109)/C109,0)</f>
        <v>0</v>
      </c>
      <c r="O109" s="133">
        <f>IF((H109+N109)&gt;I109,I109,(H109+N109))</f>
        <v>8.8793257291226355E-4</v>
      </c>
      <c r="P109" s="145">
        <f>N109*C109</f>
        <v>0</v>
      </c>
    </row>
    <row r="110" spans="1:16" x14ac:dyDescent="0.35">
      <c r="A110" s="99"/>
      <c r="B110" s="95"/>
      <c r="C110" s="102"/>
      <c r="D110" s="95"/>
      <c r="E110" s="104"/>
      <c r="F110" s="124"/>
      <c r="G110" s="118"/>
      <c r="H110" s="118"/>
      <c r="I110" s="146"/>
      <c r="J110" s="140"/>
      <c r="L110" s="142"/>
      <c r="M110" s="143"/>
      <c r="O110" s="133"/>
    </row>
    <row r="111" spans="1:16" x14ac:dyDescent="0.35">
      <c r="A111" s="99" t="s">
        <v>2</v>
      </c>
      <c r="B111" s="95"/>
      <c r="C111" s="102">
        <v>2250085594.0861526</v>
      </c>
      <c r="D111" s="95"/>
      <c r="E111" s="104">
        <v>0.11302169887200222</v>
      </c>
      <c r="F111" s="124">
        <f>E111*F$119</f>
        <v>0</v>
      </c>
      <c r="G111" s="118">
        <f>F111/C111</f>
        <v>0</v>
      </c>
      <c r="H111" s="118">
        <f>G94+G111</f>
        <v>8.5381808003189962E-4</v>
      </c>
      <c r="I111" s="147">
        <v>3.2200000000000002E-3</v>
      </c>
      <c r="J111" s="140">
        <f>H111-I111</f>
        <v>-2.3661819199681006E-3</v>
      </c>
      <c r="K111" s="141">
        <f>IF(J111&lt;0,0,J111*C111)</f>
        <v>0</v>
      </c>
      <c r="L111" s="142">
        <f>IF(K111=0,F111,0)</f>
        <v>0</v>
      </c>
      <c r="M111" s="143">
        <f>IF(K111=0,IFERROR((L111/L$119),0),0)</f>
        <v>0</v>
      </c>
      <c r="N111" s="144">
        <f>IF(K111=0,(K$119*M111)/C111,0)</f>
        <v>0</v>
      </c>
      <c r="O111" s="133">
        <f>IF((H111+N111)&gt;I111,I111,(H111+N111))</f>
        <v>8.5381808003189962E-4</v>
      </c>
      <c r="P111" s="145">
        <f>N111*C111</f>
        <v>0</v>
      </c>
    </row>
    <row r="112" spans="1:16" x14ac:dyDescent="0.35">
      <c r="A112" s="99"/>
      <c r="B112" s="95"/>
      <c r="C112" s="102"/>
      <c r="D112" s="95"/>
      <c r="E112" s="104"/>
      <c r="F112" s="124"/>
      <c r="G112" s="118"/>
      <c r="H112" s="118"/>
      <c r="I112" s="146"/>
      <c r="J112" s="140"/>
      <c r="L112" s="142"/>
      <c r="M112" s="143"/>
      <c r="O112" s="133"/>
    </row>
    <row r="113" spans="1:16" x14ac:dyDescent="0.35">
      <c r="A113" s="99" t="s">
        <v>9</v>
      </c>
      <c r="B113" s="95"/>
      <c r="C113" s="102">
        <v>10181092367.492981</v>
      </c>
      <c r="D113" s="95"/>
      <c r="E113" s="104">
        <v>0.41445398809380962</v>
      </c>
      <c r="F113" s="124">
        <f>E113*F$119</f>
        <v>0</v>
      </c>
      <c r="G113" s="118">
        <f>F113/C113</f>
        <v>0</v>
      </c>
      <c r="H113" s="118">
        <f>G96+G113</f>
        <v>8.5526087341818559E-4</v>
      </c>
      <c r="I113" s="147">
        <v>2.5600000000000002E-3</v>
      </c>
      <c r="J113" s="140">
        <f>H113-I113</f>
        <v>-1.7047391265818147E-3</v>
      </c>
      <c r="K113" s="141">
        <f>IF(J113&lt;0,0,J113*C113)</f>
        <v>0</v>
      </c>
      <c r="L113" s="142">
        <f>IF(K113=0,F113,0)</f>
        <v>0</v>
      </c>
      <c r="M113" s="143">
        <f>IF(K113=0,IFERROR((L113/L$119),0),0)</f>
        <v>0</v>
      </c>
      <c r="N113" s="144">
        <f>IF(K113=0,(K$119*M113)/C113,0)</f>
        <v>0</v>
      </c>
      <c r="O113" s="133">
        <f>IF((H113+N113)&gt;I113,I113,(H113+N113))</f>
        <v>8.5526087341818559E-4</v>
      </c>
      <c r="P113" s="145">
        <f>N113*C113</f>
        <v>0</v>
      </c>
    </row>
    <row r="114" spans="1:16" x14ac:dyDescent="0.35">
      <c r="A114" s="99"/>
      <c r="B114" s="95"/>
      <c r="C114" s="102"/>
      <c r="D114" s="95"/>
      <c r="E114" s="104"/>
      <c r="F114" s="124"/>
      <c r="G114" s="118"/>
      <c r="H114" s="118"/>
      <c r="I114" s="146"/>
      <c r="J114" s="140"/>
      <c r="L114" s="142"/>
      <c r="M114" s="143"/>
      <c r="N114" s="144"/>
      <c r="O114" s="133"/>
    </row>
    <row r="115" spans="1:16" x14ac:dyDescent="0.35">
      <c r="A115" s="99" t="s">
        <v>8</v>
      </c>
      <c r="B115" s="95"/>
      <c r="C115" s="102">
        <v>305054624.73874104</v>
      </c>
      <c r="D115" s="95"/>
      <c r="E115" s="104">
        <v>1.118062872431484E-2</v>
      </c>
      <c r="F115" s="124">
        <f>E115*F$119</f>
        <v>0</v>
      </c>
      <c r="G115" s="118">
        <f>F115/C115</f>
        <v>0</v>
      </c>
      <c r="H115" s="118">
        <f>G98+G115</f>
        <v>8.6938374597547881E-4</v>
      </c>
      <c r="I115" s="147">
        <v>3.4099999999999998E-3</v>
      </c>
      <c r="J115" s="140">
        <f>H115-I115</f>
        <v>-2.5406162540245209E-3</v>
      </c>
      <c r="K115" s="141">
        <f>IF(J115&lt;0,0,J115*C115)</f>
        <v>0</v>
      </c>
      <c r="L115" s="142">
        <f>IF(K115=0,F115,0)</f>
        <v>0</v>
      </c>
      <c r="M115" s="143">
        <f>IF(K115=0,IFERROR((L115/L$119),0),0)</f>
        <v>0</v>
      </c>
      <c r="N115" s="144">
        <f>IF(K115=0,(K$119*M115)/C115,0)</f>
        <v>0</v>
      </c>
      <c r="O115" s="133">
        <f>IF((H115+N115)&gt;I115,I115,(H115+N115))</f>
        <v>8.6938374597547881E-4</v>
      </c>
      <c r="P115" s="145">
        <f>N115*C115</f>
        <v>0</v>
      </c>
    </row>
    <row r="116" spans="1:16" x14ac:dyDescent="0.35">
      <c r="A116" s="99"/>
      <c r="B116" s="95"/>
      <c r="C116" s="102"/>
      <c r="D116" s="95"/>
      <c r="E116" s="104"/>
      <c r="F116" s="124"/>
      <c r="G116" s="118"/>
      <c r="H116" s="118"/>
      <c r="I116" s="146"/>
      <c r="J116" s="140"/>
      <c r="L116" s="142"/>
      <c r="M116" s="143"/>
      <c r="N116" s="144"/>
      <c r="O116" s="133"/>
    </row>
    <row r="117" spans="1:16" x14ac:dyDescent="0.35">
      <c r="A117" s="99" t="s">
        <v>0</v>
      </c>
      <c r="B117" s="95"/>
      <c r="C117" s="82">
        <v>84749618</v>
      </c>
      <c r="D117" s="95"/>
      <c r="E117" s="134">
        <v>8.4405519773694078E-4</v>
      </c>
      <c r="F117" s="135">
        <f>E117*F$119</f>
        <v>0</v>
      </c>
      <c r="G117" s="122">
        <f>F117/C117</f>
        <v>0</v>
      </c>
      <c r="H117" s="122">
        <f>G100+G117</f>
        <v>8.9326591636438581E-4</v>
      </c>
      <c r="I117" s="148">
        <v>3.79E-3</v>
      </c>
      <c r="J117" s="149">
        <f>H117-I117</f>
        <v>-2.8967340836356143E-3</v>
      </c>
      <c r="K117" s="150">
        <f>IF(J117&lt;0,0,J117*C117)</f>
        <v>0</v>
      </c>
      <c r="L117" s="135">
        <f>IF(K117=0,F117,0)</f>
        <v>0</v>
      </c>
      <c r="M117" s="151">
        <f>IF(K117=0,IFERROR((L117/L$119),0),0)</f>
        <v>0</v>
      </c>
      <c r="N117" s="152">
        <f>IF(K117=0,(K$119*M117)/C117,0)</f>
        <v>0</v>
      </c>
      <c r="O117" s="153">
        <f>IF((H117+N117)&gt;I117,I117,(H117+N117))</f>
        <v>8.9326591636438581E-4</v>
      </c>
      <c r="P117" s="154">
        <f>N117*C117</f>
        <v>0</v>
      </c>
    </row>
    <row r="118" spans="1:16" x14ac:dyDescent="0.35">
      <c r="A118" s="99"/>
      <c r="B118" s="95"/>
      <c r="C118" s="108"/>
      <c r="D118" s="95"/>
      <c r="E118" s="136"/>
      <c r="F118" s="124"/>
      <c r="G118" s="118"/>
      <c r="H118" s="118"/>
      <c r="I118" s="146"/>
      <c r="J118" s="140"/>
      <c r="L118" s="142"/>
      <c r="M118" s="143"/>
      <c r="O118" s="133"/>
    </row>
    <row r="119" spans="1:16" x14ac:dyDescent="0.35">
      <c r="A119" s="99" t="s">
        <v>7</v>
      </c>
      <c r="B119" s="95"/>
      <c r="C119" s="169">
        <v>19767706536.976551</v>
      </c>
      <c r="D119" s="95"/>
      <c r="E119" s="136">
        <f>SUM(E109:E117)</f>
        <v>0.99999999999999989</v>
      </c>
      <c r="F119" s="67">
        <v>0</v>
      </c>
      <c r="G119" s="118">
        <f>F119/C119</f>
        <v>0</v>
      </c>
      <c r="H119" s="118">
        <f>G102+G119</f>
        <v>8.6695894477909451E-4</v>
      </c>
      <c r="I119" s="148">
        <v>2.8300000000000001E-3</v>
      </c>
      <c r="J119" s="140">
        <f>H119-I119</f>
        <v>-1.9630410552209055E-3</v>
      </c>
      <c r="K119" s="141">
        <f>SUM(K109:K117)</f>
        <v>0</v>
      </c>
      <c r="L119" s="155">
        <f>SUM(L109:L117)</f>
        <v>0</v>
      </c>
      <c r="M119" s="143">
        <f>IF(K119=0,IFERROR((L119/L$119),0),0)</f>
        <v>0</v>
      </c>
      <c r="N119" s="144">
        <f>(K$119*M119)/C119</f>
        <v>0</v>
      </c>
      <c r="O119" s="133">
        <f>IF((H119+N119)&gt;I119,I119,(H119+N119))</f>
        <v>8.6695894477909451E-4</v>
      </c>
      <c r="P119" s="145">
        <f>SUM(P109:P117)</f>
        <v>0</v>
      </c>
    </row>
    <row r="120" spans="1:16" x14ac:dyDescent="0.35">
      <c r="A120" s="99"/>
      <c r="B120" s="95"/>
      <c r="C120" s="95"/>
      <c r="D120" s="95"/>
      <c r="E120" s="95"/>
      <c r="F120" s="124"/>
      <c r="G120" s="138"/>
    </row>
    <row r="121" spans="1:16" x14ac:dyDescent="0.35">
      <c r="A121" s="99"/>
      <c r="B121" s="95"/>
      <c r="C121" s="55"/>
      <c r="D121" s="95"/>
      <c r="E121" s="115"/>
      <c r="F121" s="115"/>
      <c r="G121" s="138"/>
    </row>
    <row r="122" spans="1:16" x14ac:dyDescent="0.35">
      <c r="A122" s="99"/>
      <c r="B122" s="95"/>
      <c r="C122" s="95"/>
      <c r="D122" s="95"/>
      <c r="E122" s="55"/>
      <c r="F122" s="67"/>
      <c r="G122" s="138"/>
    </row>
    <row r="123" spans="1:16" x14ac:dyDescent="0.35">
      <c r="A123" s="99"/>
      <c r="B123" s="95"/>
      <c r="C123" s="95"/>
      <c r="D123" s="95"/>
      <c r="E123" s="95"/>
      <c r="F123" s="95"/>
      <c r="G123" s="138"/>
    </row>
    <row r="124" spans="1:16" ht="15.75" customHeight="1" x14ac:dyDescent="0.35">
      <c r="A124" s="53" t="s">
        <v>14</v>
      </c>
      <c r="B124" s="95"/>
      <c r="C124" s="95"/>
      <c r="D124" s="95"/>
      <c r="E124" s="95"/>
      <c r="F124" s="95"/>
      <c r="G124" s="95"/>
    </row>
    <row r="125" spans="1:16" ht="52.5" x14ac:dyDescent="0.35">
      <c r="A125" s="99"/>
      <c r="B125" s="95"/>
      <c r="C125" s="59" t="s">
        <v>176</v>
      </c>
      <c r="D125" s="95"/>
      <c r="E125" s="59" t="s">
        <v>175</v>
      </c>
      <c r="F125" s="59" t="s">
        <v>13</v>
      </c>
      <c r="G125" s="59" t="s">
        <v>12</v>
      </c>
      <c r="H125" s="59" t="s">
        <v>11</v>
      </c>
    </row>
    <row r="126" spans="1:16" x14ac:dyDescent="0.35">
      <c r="A126" s="99"/>
      <c r="B126" s="95"/>
      <c r="C126" s="62"/>
      <c r="D126" s="95"/>
      <c r="E126" s="62"/>
      <c r="F126" s="62"/>
      <c r="G126" s="138"/>
    </row>
    <row r="127" spans="1:16" x14ac:dyDescent="0.35">
      <c r="A127" s="99"/>
      <c r="B127" s="95"/>
      <c r="C127" s="95"/>
      <c r="D127" s="95"/>
      <c r="E127" s="62"/>
      <c r="F127" s="62"/>
      <c r="G127" s="138"/>
    </row>
    <row r="128" spans="1:16" x14ac:dyDescent="0.35">
      <c r="A128" s="99" t="s">
        <v>10</v>
      </c>
      <c r="B128" s="95"/>
      <c r="C128" s="102">
        <v>6946724332.6586723</v>
      </c>
      <c r="D128" s="95"/>
      <c r="E128" s="104">
        <v>0.46049962911213632</v>
      </c>
      <c r="F128" s="124">
        <f>E128*F$138</f>
        <v>47909482.05705101</v>
      </c>
      <c r="G128" s="118">
        <f>F128/C128</f>
        <v>6.8967012022938499E-3</v>
      </c>
      <c r="H128" s="118">
        <f>G128</f>
        <v>6.8967012022938499E-3</v>
      </c>
    </row>
    <row r="129" spans="1:8" x14ac:dyDescent="0.35">
      <c r="A129" s="99"/>
      <c r="B129" s="95"/>
      <c r="C129" s="102"/>
      <c r="D129" s="95"/>
      <c r="E129" s="104"/>
      <c r="F129" s="124"/>
      <c r="G129" s="118"/>
      <c r="H129" s="118"/>
    </row>
    <row r="130" spans="1:8" x14ac:dyDescent="0.35">
      <c r="A130" s="99" t="s">
        <v>2</v>
      </c>
      <c r="B130" s="95"/>
      <c r="C130" s="102">
        <v>2250085594.0861526</v>
      </c>
      <c r="D130" s="95"/>
      <c r="E130" s="104">
        <v>0.11302169887200222</v>
      </c>
      <c r="F130" s="124">
        <f>E130*F$138</f>
        <v>11758556.819265215</v>
      </c>
      <c r="G130" s="118">
        <f>F130/C130</f>
        <v>5.2258264530780319E-3</v>
      </c>
      <c r="H130" s="118">
        <f>G130</f>
        <v>5.2258264530780319E-3</v>
      </c>
    </row>
    <row r="131" spans="1:8" x14ac:dyDescent="0.35">
      <c r="A131" s="99"/>
      <c r="B131" s="95"/>
      <c r="C131" s="102"/>
      <c r="D131" s="95"/>
      <c r="E131" s="104"/>
      <c r="F131" s="124"/>
      <c r="G131" s="118"/>
      <c r="H131" s="118"/>
    </row>
    <row r="132" spans="1:8" x14ac:dyDescent="0.35">
      <c r="A132" s="99" t="s">
        <v>9</v>
      </c>
      <c r="B132" s="95"/>
      <c r="C132" s="102">
        <v>10181092367.492981</v>
      </c>
      <c r="D132" s="95"/>
      <c r="E132" s="104">
        <v>0.41445398809380962</v>
      </c>
      <c r="F132" s="124">
        <f>E132*F$138</f>
        <v>43118983.492641203</v>
      </c>
      <c r="G132" s="118">
        <f>F132/C132</f>
        <v>4.2352020722565093E-3</v>
      </c>
      <c r="H132" s="118">
        <f>G132</f>
        <v>4.2352020722565093E-3</v>
      </c>
    </row>
    <row r="133" spans="1:8" x14ac:dyDescent="0.35">
      <c r="A133" s="99"/>
      <c r="B133" s="95"/>
      <c r="C133" s="102"/>
      <c r="D133" s="95"/>
      <c r="E133" s="104"/>
      <c r="F133" s="124"/>
      <c r="G133" s="118"/>
      <c r="H133" s="118"/>
    </row>
    <row r="134" spans="1:8" x14ac:dyDescent="0.35">
      <c r="A134" s="99" t="s">
        <v>8</v>
      </c>
      <c r="B134" s="95"/>
      <c r="C134" s="102">
        <v>305054624.73874104</v>
      </c>
      <c r="D134" s="95"/>
      <c r="E134" s="104">
        <v>1.118062872431484E-2</v>
      </c>
      <c r="F134" s="124">
        <f>E134*F$138</f>
        <v>1163210.7767098173</v>
      </c>
      <c r="G134" s="118">
        <f>F134/C134</f>
        <v>3.8131229044831884E-3</v>
      </c>
      <c r="H134" s="118">
        <f>G134</f>
        <v>3.8131229044831884E-3</v>
      </c>
    </row>
    <row r="135" spans="1:8" x14ac:dyDescent="0.35">
      <c r="A135" s="99"/>
      <c r="B135" s="95"/>
      <c r="C135" s="102"/>
      <c r="D135" s="95"/>
      <c r="E135" s="104"/>
      <c r="F135" s="124"/>
      <c r="G135" s="118"/>
      <c r="H135" s="118"/>
    </row>
    <row r="136" spans="1:8" x14ac:dyDescent="0.35">
      <c r="A136" s="99" t="s">
        <v>0</v>
      </c>
      <c r="B136" s="95"/>
      <c r="C136" s="82">
        <v>84749618</v>
      </c>
      <c r="D136" s="95"/>
      <c r="E136" s="134">
        <v>8.4405519773694078E-4</v>
      </c>
      <c r="F136" s="135">
        <f>E136*F$138</f>
        <v>87813.854332750139</v>
      </c>
      <c r="G136" s="122">
        <f>F136/C136</f>
        <v>1.036156343887593E-3</v>
      </c>
      <c r="H136" s="122">
        <f>G136</f>
        <v>1.036156343887593E-3</v>
      </c>
    </row>
    <row r="137" spans="1:8" x14ac:dyDescent="0.35">
      <c r="A137" s="99"/>
      <c r="B137" s="95"/>
      <c r="C137" s="108"/>
      <c r="D137" s="95"/>
      <c r="E137" s="136"/>
      <c r="F137" s="124"/>
      <c r="G137" s="118"/>
      <c r="H137" s="118"/>
    </row>
    <row r="138" spans="1:8" x14ac:dyDescent="0.35">
      <c r="A138" s="99" t="s">
        <v>7</v>
      </c>
      <c r="B138" s="95"/>
      <c r="C138" s="169">
        <v>19767706536.976551</v>
      </c>
      <c r="D138" s="95"/>
      <c r="E138" s="136">
        <f>SUM(E128:E136)</f>
        <v>0.99999999999999989</v>
      </c>
      <c r="F138" s="67">
        <v>104038047</v>
      </c>
      <c r="G138" s="118">
        <f>F138/C138</f>
        <v>5.2630307317336625E-3</v>
      </c>
      <c r="H138" s="118">
        <f>G138</f>
        <v>5.2630307317336625E-3</v>
      </c>
    </row>
    <row r="139" spans="1:8" x14ac:dyDescent="0.35">
      <c r="A139" s="99"/>
      <c r="B139" s="95"/>
      <c r="C139" s="95"/>
      <c r="D139" s="95"/>
      <c r="E139" s="95"/>
      <c r="F139" s="124"/>
      <c r="G139" s="95"/>
    </row>
    <row r="140" spans="1:8" x14ac:dyDescent="0.35">
      <c r="A140" s="99"/>
      <c r="B140" s="95"/>
      <c r="C140" s="55"/>
      <c r="D140" s="95"/>
      <c r="E140" s="156"/>
      <c r="F140" s="115"/>
      <c r="G140" s="95"/>
    </row>
    <row r="141" spans="1:8" x14ac:dyDescent="0.35">
      <c r="A141" s="99"/>
      <c r="B141" s="95"/>
      <c r="C141" s="95"/>
      <c r="D141" s="95"/>
      <c r="E141" s="95"/>
      <c r="F141" s="124"/>
      <c r="G141" s="95"/>
    </row>
    <row r="142" spans="1:8" x14ac:dyDescent="0.35">
      <c r="A142" s="99"/>
      <c r="B142" s="95"/>
      <c r="C142" s="95"/>
      <c r="D142" s="95"/>
      <c r="G142" s="95"/>
    </row>
    <row r="143" spans="1:8" x14ac:dyDescent="0.35">
      <c r="A143" s="99"/>
      <c r="B143" s="95"/>
      <c r="C143" s="95"/>
      <c r="D143" s="95"/>
      <c r="E143" s="95"/>
      <c r="F143" s="157"/>
      <c r="G143" s="95"/>
    </row>
    <row r="144" spans="1:8" x14ac:dyDescent="0.35">
      <c r="A144" s="99" t="s">
        <v>6</v>
      </c>
      <c r="B144" s="95" t="s">
        <v>5</v>
      </c>
      <c r="C144" s="95"/>
      <c r="D144" s="95"/>
      <c r="E144" s="95"/>
      <c r="F144" s="95"/>
      <c r="G144" s="95"/>
    </row>
    <row r="145" spans="1:9" x14ac:dyDescent="0.35">
      <c r="A145" s="99"/>
      <c r="B145" s="95" t="s">
        <v>4</v>
      </c>
      <c r="C145" s="95"/>
      <c r="D145" s="95"/>
      <c r="E145" s="95"/>
      <c r="F145" s="95"/>
      <c r="G145" s="95"/>
    </row>
    <row r="146" spans="1:9" x14ac:dyDescent="0.35">
      <c r="A146" s="68"/>
      <c r="B146" s="55"/>
      <c r="C146" s="95"/>
      <c r="D146" s="95"/>
      <c r="E146" s="95"/>
      <c r="F146" s="95"/>
      <c r="G146" s="95"/>
    </row>
    <row r="147" spans="1:9" ht="15.5" x14ac:dyDescent="0.35">
      <c r="A147" s="183" t="s">
        <v>177</v>
      </c>
      <c r="B147" s="183"/>
      <c r="C147" s="183"/>
      <c r="D147" s="183"/>
      <c r="E147" s="183"/>
      <c r="F147" s="183"/>
      <c r="G147" s="183"/>
    </row>
    <row r="148" spans="1:9" x14ac:dyDescent="0.35">
      <c r="A148" s="95"/>
      <c r="B148" s="95"/>
      <c r="C148" s="95"/>
      <c r="D148" s="95"/>
      <c r="E148" s="95"/>
      <c r="F148" s="95"/>
      <c r="G148" s="95"/>
    </row>
    <row r="149" spans="1:9" ht="15.75" customHeight="1" x14ac:dyDescent="0.35">
      <c r="A149" s="53" t="s">
        <v>178</v>
      </c>
      <c r="B149" s="95"/>
      <c r="C149" s="95"/>
      <c r="D149" s="95"/>
      <c r="E149" s="95"/>
      <c r="F149" s="95"/>
      <c r="G149" s="95"/>
    </row>
    <row r="151" spans="1:9" x14ac:dyDescent="0.35">
      <c r="A151" s="55" t="s">
        <v>52</v>
      </c>
      <c r="B151" s="95"/>
      <c r="C151" s="127">
        <v>2175066</v>
      </c>
    </row>
    <row r="152" spans="1:9" x14ac:dyDescent="0.35">
      <c r="A152" s="55" t="s">
        <v>179</v>
      </c>
      <c r="B152" s="95"/>
      <c r="C152" s="128">
        <f>SUM(C151:C151)</f>
        <v>2175066</v>
      </c>
    </row>
    <row r="154" spans="1:9" ht="39.5" x14ac:dyDescent="0.35">
      <c r="A154" s="99"/>
      <c r="B154" s="91"/>
      <c r="C154" s="59" t="str">
        <f>C125</f>
        <v>2016 GRC P2 Sales TY 2018</v>
      </c>
      <c r="D154" s="91"/>
      <c r="E154" s="59" t="s">
        <v>49</v>
      </c>
      <c r="F154" s="59" t="s">
        <v>48</v>
      </c>
      <c r="G154" s="59" t="s">
        <v>175</v>
      </c>
    </row>
    <row r="155" spans="1:9" ht="15.5" x14ac:dyDescent="0.35">
      <c r="A155" s="99"/>
      <c r="B155" s="91"/>
      <c r="C155" s="95"/>
      <c r="D155" s="91"/>
      <c r="E155" s="95"/>
      <c r="F155" s="95"/>
      <c r="G155" s="95"/>
    </row>
    <row r="156" spans="1:9" ht="15.5" x14ac:dyDescent="0.35">
      <c r="A156" s="99" t="s">
        <v>10</v>
      </c>
      <c r="B156" s="91"/>
      <c r="C156" s="102">
        <v>6946724332.6586723</v>
      </c>
      <c r="D156" s="91"/>
      <c r="E156" s="102">
        <v>979598674.09739566</v>
      </c>
      <c r="F156" s="103">
        <f>C156-E156</f>
        <v>5967125658.5612764</v>
      </c>
      <c r="G156" s="104">
        <v>0.32469012958724708</v>
      </c>
      <c r="I156" s="142"/>
    </row>
    <row r="157" spans="1:9" ht="15.5" x14ac:dyDescent="0.35">
      <c r="A157" s="99"/>
      <c r="B157" s="91"/>
      <c r="C157" s="102"/>
      <c r="D157" s="91"/>
      <c r="E157" s="105"/>
      <c r="F157" s="103"/>
      <c r="G157" s="104"/>
    </row>
    <row r="158" spans="1:9" ht="15.5" x14ac:dyDescent="0.35">
      <c r="A158" s="99" t="s">
        <v>2</v>
      </c>
      <c r="B158" s="91"/>
      <c r="C158" s="102">
        <v>2250085594.0861526</v>
      </c>
      <c r="D158" s="91"/>
      <c r="E158" s="102">
        <v>2848397.9999999972</v>
      </c>
      <c r="F158" s="103">
        <f>C158-E158</f>
        <v>2247237196.0861526</v>
      </c>
      <c r="G158" s="104">
        <v>0.11911757788890198</v>
      </c>
    </row>
    <row r="159" spans="1:9" ht="15.5" x14ac:dyDescent="0.35">
      <c r="A159" s="99"/>
      <c r="B159" s="91"/>
      <c r="C159" s="102"/>
      <c r="D159" s="91"/>
      <c r="E159" s="102"/>
      <c r="F159" s="103"/>
      <c r="G159" s="104"/>
    </row>
    <row r="160" spans="1:9" ht="15.5" x14ac:dyDescent="0.35">
      <c r="A160" s="99" t="s">
        <v>9</v>
      </c>
      <c r="B160" s="91"/>
      <c r="C160" s="102">
        <v>10181092367.492981</v>
      </c>
      <c r="D160" s="91"/>
      <c r="E160" s="102">
        <v>15702375.999999993</v>
      </c>
      <c r="F160" s="103">
        <f>C160-E160</f>
        <v>10165389991.492981</v>
      </c>
      <c r="G160" s="104">
        <v>0.5397275811009683</v>
      </c>
    </row>
    <row r="161" spans="1:7" ht="15.5" x14ac:dyDescent="0.35">
      <c r="A161" s="99"/>
      <c r="B161" s="91"/>
      <c r="C161" s="102"/>
      <c r="D161" s="91"/>
      <c r="E161" s="103"/>
      <c r="F161" s="103"/>
      <c r="G161" s="104"/>
    </row>
    <row r="162" spans="1:7" ht="15.5" x14ac:dyDescent="0.35">
      <c r="A162" s="99" t="s">
        <v>8</v>
      </c>
      <c r="B162" s="91"/>
      <c r="C162" s="102">
        <v>305054624.73874104</v>
      </c>
      <c r="D162" s="91"/>
      <c r="E162" s="108"/>
      <c r="F162" s="103">
        <f>C162</f>
        <v>305054624.73874104</v>
      </c>
      <c r="G162" s="104">
        <v>1.6464711422882472E-2</v>
      </c>
    </row>
    <row r="163" spans="1:7" ht="15.5" x14ac:dyDescent="0.35">
      <c r="A163" s="95"/>
      <c r="B163" s="91"/>
      <c r="C163" s="102"/>
      <c r="D163" s="91"/>
      <c r="E163" s="108"/>
      <c r="F163" s="103"/>
      <c r="G163" s="109"/>
    </row>
    <row r="164" spans="1:7" ht="15.5" x14ac:dyDescent="0.35">
      <c r="A164" s="95" t="s">
        <v>0</v>
      </c>
      <c r="B164" s="91"/>
      <c r="C164" s="82">
        <v>84749618</v>
      </c>
      <c r="D164" s="91"/>
      <c r="E164" s="158"/>
      <c r="F164" s="163">
        <v>0</v>
      </c>
      <c r="G164" s="110"/>
    </row>
    <row r="165" spans="1:7" ht="15.5" x14ac:dyDescent="0.35">
      <c r="A165" s="95"/>
      <c r="B165" s="91"/>
      <c r="C165" s="95"/>
      <c r="D165" s="91"/>
      <c r="E165" s="95"/>
      <c r="F165" s="95"/>
      <c r="G165" s="159"/>
    </row>
    <row r="166" spans="1:7" ht="15.5" x14ac:dyDescent="0.35">
      <c r="A166" s="95" t="s">
        <v>34</v>
      </c>
      <c r="B166" s="91"/>
      <c r="C166" s="169">
        <v>19767706536.976551</v>
      </c>
      <c r="D166" s="113" t="s">
        <v>33</v>
      </c>
      <c r="E166" s="103">
        <f>SUM(E156:E164)</f>
        <v>998149448.09739566</v>
      </c>
      <c r="F166" s="103">
        <f>SUM(F156:F164)</f>
        <v>18684807470.879154</v>
      </c>
      <c r="G166" s="159">
        <f>SUM(G156:G164)</f>
        <v>0.99999999999999978</v>
      </c>
    </row>
    <row r="167" spans="1:7" ht="15.5" x14ac:dyDescent="0.35">
      <c r="A167" s="95"/>
      <c r="B167" s="91"/>
      <c r="C167" s="95"/>
      <c r="D167" s="91"/>
      <c r="E167" s="95"/>
      <c r="F167" s="123"/>
      <c r="G167" s="124"/>
    </row>
    <row r="168" spans="1:7" ht="15.5" x14ac:dyDescent="0.35">
      <c r="A168" s="95"/>
      <c r="B168" s="91"/>
      <c r="C168" s="95"/>
      <c r="D168" s="91"/>
      <c r="E168" s="95"/>
      <c r="F168" s="67"/>
      <c r="G168" s="156"/>
    </row>
    <row r="169" spans="1:7" ht="15.5" x14ac:dyDescent="0.35">
      <c r="A169" s="53" t="s">
        <v>180</v>
      </c>
      <c r="B169" s="91"/>
      <c r="C169" s="95"/>
      <c r="D169" s="91"/>
      <c r="E169" s="95"/>
      <c r="F169" s="95"/>
      <c r="G169" s="95"/>
    </row>
    <row r="170" spans="1:7" ht="39.5" x14ac:dyDescent="0.35">
      <c r="A170" s="95"/>
      <c r="B170" s="95"/>
      <c r="C170" s="59" t="s">
        <v>181</v>
      </c>
      <c r="D170" s="60"/>
      <c r="E170" s="59" t="s">
        <v>182</v>
      </c>
      <c r="F170" s="95"/>
      <c r="G170" s="95"/>
    </row>
    <row r="171" spans="1:7" x14ac:dyDescent="0.35">
      <c r="A171" s="95"/>
      <c r="B171" s="95"/>
      <c r="C171" s="113"/>
      <c r="D171" s="113"/>
      <c r="E171" s="113"/>
      <c r="F171" s="95"/>
      <c r="G171" s="116"/>
    </row>
    <row r="172" spans="1:7" x14ac:dyDescent="0.35">
      <c r="A172" s="95" t="s">
        <v>10</v>
      </c>
      <c r="B172" s="95"/>
      <c r="C172" s="130">
        <f>$C$152*G156</f>
        <v>706222.46140081517</v>
      </c>
      <c r="D172" s="113"/>
      <c r="E172" s="118">
        <f>C172/F156</f>
        <v>1.1835220201665592E-4</v>
      </c>
      <c r="F172" s="95"/>
      <c r="G172" s="119"/>
    </row>
    <row r="173" spans="1:7" x14ac:dyDescent="0.35">
      <c r="A173" s="95"/>
      <c r="B173" s="95"/>
      <c r="C173" s="117"/>
      <c r="D173" s="113"/>
      <c r="E173" s="118"/>
      <c r="F173" s="95"/>
      <c r="G173" s="95"/>
    </row>
    <row r="174" spans="1:7" x14ac:dyDescent="0.35">
      <c r="A174" s="95" t="s">
        <v>2</v>
      </c>
      <c r="B174" s="95"/>
      <c r="C174" s="117">
        <f>$C$152*G158</f>
        <v>259088.59366850246</v>
      </c>
      <c r="D174" s="113"/>
      <c r="E174" s="118">
        <f>C174/F158</f>
        <v>1.152920546703917E-4</v>
      </c>
      <c r="F174" s="95"/>
      <c r="G174" s="95"/>
    </row>
    <row r="175" spans="1:7" x14ac:dyDescent="0.35">
      <c r="A175" s="95"/>
      <c r="B175" s="95"/>
      <c r="C175" s="117"/>
      <c r="D175" s="113"/>
      <c r="E175" s="118"/>
      <c r="F175" s="95"/>
      <c r="G175" s="95"/>
    </row>
    <row r="176" spans="1:7" x14ac:dyDescent="0.35">
      <c r="A176" s="95" t="s">
        <v>9</v>
      </c>
      <c r="B176" s="95"/>
      <c r="C176" s="117">
        <f>$C$152*G160</f>
        <v>1173943.1109149586</v>
      </c>
      <c r="D176" s="113"/>
      <c r="E176" s="118">
        <f>C176/F160</f>
        <v>1.1548431608599236E-4</v>
      </c>
      <c r="F176" s="95"/>
      <c r="G176" s="95"/>
    </row>
    <row r="177" spans="1:10" x14ac:dyDescent="0.35">
      <c r="A177" s="95"/>
      <c r="B177" s="95"/>
      <c r="C177" s="117"/>
      <c r="D177" s="113"/>
      <c r="E177" s="118"/>
      <c r="F177" s="95"/>
      <c r="G177" s="95"/>
    </row>
    <row r="178" spans="1:10" x14ac:dyDescent="0.35">
      <c r="A178" s="95" t="s">
        <v>8</v>
      </c>
      <c r="B178" s="95"/>
      <c r="C178" s="121">
        <f>$C$152*G162</f>
        <v>35811.834015723289</v>
      </c>
      <c r="D178" s="113"/>
      <c r="E178" s="122">
        <f>C178/F162</f>
        <v>1.1739482411189058E-4</v>
      </c>
      <c r="F178" s="95"/>
      <c r="G178" s="95"/>
    </row>
    <row r="179" spans="1:10" x14ac:dyDescent="0.35">
      <c r="A179" s="95"/>
      <c r="B179" s="95"/>
      <c r="C179" s="117"/>
      <c r="D179" s="113"/>
      <c r="E179" s="118"/>
      <c r="F179" s="95"/>
      <c r="G179" s="95"/>
    </row>
    <row r="180" spans="1:10" x14ac:dyDescent="0.35">
      <c r="A180" s="99" t="s">
        <v>29</v>
      </c>
      <c r="B180" s="95"/>
      <c r="C180" s="117">
        <f>SUM(C172:C179)</f>
        <v>2175065.9999999995</v>
      </c>
      <c r="D180" s="113"/>
      <c r="E180" s="61">
        <f>C180/F166</f>
        <v>1.1640826395401219E-4</v>
      </c>
      <c r="F180" s="95"/>
      <c r="G180" s="95"/>
    </row>
    <row r="181" spans="1:10" ht="15.5" x14ac:dyDescent="0.35">
      <c r="A181" s="95"/>
      <c r="B181" s="91"/>
      <c r="C181" s="95"/>
      <c r="D181" s="91"/>
      <c r="E181" s="95"/>
      <c r="F181" s="123"/>
      <c r="G181" s="124"/>
    </row>
    <row r="182" spans="1:10" x14ac:dyDescent="0.35">
      <c r="A182" s="55"/>
      <c r="B182" s="55"/>
      <c r="C182" s="115"/>
      <c r="D182" s="95"/>
      <c r="E182" s="95"/>
      <c r="F182" s="95"/>
      <c r="G182" s="95"/>
    </row>
    <row r="183" spans="1:10" x14ac:dyDescent="0.35">
      <c r="A183" s="55"/>
      <c r="C183" s="67"/>
    </row>
    <row r="184" spans="1:10" ht="15.5" x14ac:dyDescent="0.35">
      <c r="A184" s="69" t="s">
        <v>183</v>
      </c>
    </row>
    <row r="185" spans="1:10" x14ac:dyDescent="0.35">
      <c r="A185" s="69"/>
    </row>
    <row r="186" spans="1:10" x14ac:dyDescent="0.35">
      <c r="A186" s="69"/>
    </row>
    <row r="187" spans="1:10" ht="15.5" x14ac:dyDescent="0.35">
      <c r="A187" s="183" t="s">
        <v>184</v>
      </c>
      <c r="B187" s="183"/>
      <c r="C187" s="183"/>
      <c r="D187" s="183"/>
      <c r="E187" s="183"/>
      <c r="F187" s="183"/>
      <c r="G187" s="183"/>
    </row>
    <row r="188" spans="1:10" ht="15.5" x14ac:dyDescent="0.35">
      <c r="A188" s="91"/>
      <c r="B188" s="91"/>
      <c r="C188" s="91"/>
      <c r="D188" s="91"/>
      <c r="E188" s="91"/>
      <c r="F188" s="91"/>
      <c r="G188" s="91"/>
      <c r="I188" s="54"/>
      <c r="J188" s="54"/>
    </row>
    <row r="189" spans="1:10" ht="15.5" x14ac:dyDescent="0.35">
      <c r="A189" s="53" t="s">
        <v>185</v>
      </c>
      <c r="B189" s="91"/>
      <c r="C189" s="95"/>
      <c r="D189" s="91"/>
      <c r="E189" s="95"/>
      <c r="F189" s="95"/>
      <c r="G189" s="95"/>
      <c r="H189" s="54"/>
      <c r="I189" s="54"/>
      <c r="J189" s="54"/>
    </row>
    <row r="190" spans="1:10" ht="15.5" x14ac:dyDescent="0.35">
      <c r="A190" s="95"/>
      <c r="B190" s="91"/>
      <c r="C190" s="95"/>
      <c r="D190" s="91"/>
      <c r="E190" s="95"/>
      <c r="F190" s="95"/>
      <c r="G190" s="95"/>
      <c r="H190" s="54"/>
      <c r="I190" s="54"/>
      <c r="J190" s="54"/>
    </row>
    <row r="191" spans="1:10" ht="15.5" x14ac:dyDescent="0.35">
      <c r="A191" s="55" t="s">
        <v>38</v>
      </c>
      <c r="B191" s="91"/>
      <c r="C191" s="96">
        <v>2002000</v>
      </c>
      <c r="D191" s="91"/>
      <c r="E191" s="55"/>
      <c r="F191" s="95"/>
      <c r="G191" s="56"/>
      <c r="H191" s="91"/>
      <c r="I191" s="54"/>
      <c r="J191" s="54"/>
    </row>
    <row r="192" spans="1:10" ht="15.5" x14ac:dyDescent="0.35">
      <c r="A192" s="57" t="s">
        <v>37</v>
      </c>
      <c r="B192" s="91"/>
      <c r="C192" s="98">
        <v>0</v>
      </c>
      <c r="D192" s="91"/>
      <c r="E192" s="55"/>
      <c r="F192" s="95"/>
      <c r="G192" s="58"/>
      <c r="H192" s="91"/>
      <c r="I192" s="54"/>
      <c r="J192" s="54"/>
    </row>
    <row r="193" spans="1:17" ht="15.5" x14ac:dyDescent="0.35">
      <c r="A193" s="99" t="s">
        <v>186</v>
      </c>
      <c r="B193" s="91"/>
      <c r="C193" s="100">
        <f>SUM(C191:C192)</f>
        <v>2002000</v>
      </c>
      <c r="D193" s="91"/>
      <c r="E193" s="95"/>
      <c r="F193" s="95"/>
      <c r="G193" s="95"/>
      <c r="H193" s="54"/>
      <c r="I193" s="54"/>
      <c r="J193" s="54"/>
    </row>
    <row r="194" spans="1:17" ht="15.5" x14ac:dyDescent="0.35">
      <c r="A194" s="99"/>
      <c r="B194" s="91"/>
      <c r="C194" s="95"/>
      <c r="D194" s="91"/>
      <c r="E194" s="95"/>
      <c r="F194" s="95"/>
      <c r="G194" s="95"/>
      <c r="H194" s="54"/>
      <c r="I194" s="54"/>
      <c r="J194" s="54"/>
    </row>
    <row r="195" spans="1:17" ht="15.5" x14ac:dyDescent="0.35">
      <c r="A195" s="55"/>
      <c r="B195" s="91"/>
      <c r="C195" s="101"/>
      <c r="D195" s="91"/>
      <c r="E195" s="95"/>
      <c r="F195" s="95"/>
      <c r="G195" s="95"/>
      <c r="H195" s="54"/>
      <c r="I195" s="54"/>
      <c r="J195" s="54"/>
    </row>
    <row r="196" spans="1:17" ht="15.5" x14ac:dyDescent="0.35">
      <c r="A196" s="53"/>
      <c r="B196" s="91"/>
      <c r="C196" s="95"/>
      <c r="D196" s="91"/>
      <c r="E196" s="95"/>
      <c r="F196" s="95"/>
      <c r="G196" s="95"/>
      <c r="H196" s="54"/>
      <c r="I196" s="54"/>
      <c r="J196" s="54"/>
    </row>
    <row r="197" spans="1:17" ht="15.5" x14ac:dyDescent="0.35">
      <c r="A197" s="53" t="s">
        <v>187</v>
      </c>
      <c r="B197" s="91"/>
      <c r="C197" s="95"/>
      <c r="D197" s="91"/>
      <c r="E197" s="95"/>
      <c r="F197" s="95"/>
      <c r="G197" s="95"/>
      <c r="H197" s="54"/>
      <c r="I197" s="54"/>
      <c r="J197" s="54"/>
    </row>
    <row r="198" spans="1:17" ht="39.5" x14ac:dyDescent="0.35">
      <c r="A198" s="99"/>
      <c r="B198" s="91"/>
      <c r="C198" s="59" t="s">
        <v>174</v>
      </c>
      <c r="D198" s="91"/>
      <c r="E198" s="59" t="s">
        <v>188</v>
      </c>
      <c r="F198" s="59" t="s">
        <v>189</v>
      </c>
      <c r="G198" s="59" t="s">
        <v>175</v>
      </c>
      <c r="H198" s="54"/>
      <c r="I198" s="59" t="s">
        <v>190</v>
      </c>
      <c r="J198" s="59" t="s">
        <v>191</v>
      </c>
      <c r="K198" s="59" t="s">
        <v>192</v>
      </c>
    </row>
    <row r="199" spans="1:17" ht="12" customHeight="1" x14ac:dyDescent="0.35">
      <c r="A199" s="99"/>
      <c r="B199" s="91"/>
      <c r="C199" s="95"/>
      <c r="D199" s="91"/>
      <c r="E199" s="95"/>
      <c r="F199" s="95"/>
      <c r="G199" s="95"/>
      <c r="H199" s="54"/>
      <c r="I199" s="54"/>
      <c r="J199" s="54"/>
    </row>
    <row r="200" spans="1:17" ht="12" customHeight="1" x14ac:dyDescent="0.35">
      <c r="A200" s="99" t="s">
        <v>10</v>
      </c>
      <c r="B200" s="91"/>
      <c r="C200" s="102">
        <v>6946724332.6586723</v>
      </c>
      <c r="D200" s="91"/>
      <c r="E200" s="102">
        <v>1016539169.9512781</v>
      </c>
      <c r="F200" s="103">
        <f>C200-E200</f>
        <v>5930185162.7073946</v>
      </c>
      <c r="G200" s="104">
        <v>0.41548062462667729</v>
      </c>
      <c r="H200" s="17"/>
      <c r="I200" s="70"/>
    </row>
    <row r="201" spans="1:17" ht="12" customHeight="1" x14ac:dyDescent="0.35">
      <c r="A201" s="99"/>
      <c r="B201" s="91"/>
      <c r="C201" s="102"/>
      <c r="D201" s="91"/>
      <c r="E201" s="105"/>
      <c r="F201" s="103"/>
      <c r="G201" s="104"/>
      <c r="H201" s="18"/>
      <c r="I201" s="19"/>
    </row>
    <row r="202" spans="1:17" ht="12" customHeight="1" x14ac:dyDescent="0.35">
      <c r="A202" s="99" t="s">
        <v>2</v>
      </c>
      <c r="B202" s="91"/>
      <c r="C202" s="102">
        <v>2250085594.0861526</v>
      </c>
      <c r="D202" s="91"/>
      <c r="E202" s="102">
        <v>2848397.9999999972</v>
      </c>
      <c r="F202" s="103">
        <f>C202-E202</f>
        <v>2247237196.0861526</v>
      </c>
      <c r="G202" s="104">
        <v>0.11372317853934658</v>
      </c>
      <c r="H202" s="17"/>
      <c r="I202" s="21"/>
    </row>
    <row r="203" spans="1:17" ht="12" customHeight="1" x14ac:dyDescent="0.35">
      <c r="A203" s="99"/>
      <c r="B203" s="91"/>
      <c r="C203" s="102"/>
      <c r="D203" s="91"/>
      <c r="E203" s="102"/>
      <c r="F203" s="103"/>
      <c r="G203" s="104"/>
      <c r="H203" s="17"/>
      <c r="I203" s="18"/>
    </row>
    <row r="204" spans="1:17" ht="12" customHeight="1" x14ac:dyDescent="0.35">
      <c r="A204" s="99" t="s">
        <v>9</v>
      </c>
      <c r="B204" s="91"/>
      <c r="C204" s="102">
        <v>10181092367.492981</v>
      </c>
      <c r="D204" s="91"/>
      <c r="E204" s="102">
        <v>15702375.999999993</v>
      </c>
      <c r="F204" s="160" t="s">
        <v>193</v>
      </c>
      <c r="G204" s="104">
        <v>0.44959881335524515</v>
      </c>
      <c r="H204" s="17"/>
      <c r="I204" s="18">
        <v>25974382.74691071</v>
      </c>
      <c r="J204" s="142">
        <v>3858116.7817910379</v>
      </c>
      <c r="K204" s="142">
        <v>8125514227.2856073</v>
      </c>
      <c r="P204" s="141"/>
      <c r="Q204" s="142"/>
    </row>
    <row r="205" spans="1:17" ht="12" customHeight="1" x14ac:dyDescent="0.35">
      <c r="A205" s="99"/>
      <c r="B205" s="91"/>
      <c r="C205" s="102"/>
      <c r="D205" s="91"/>
      <c r="E205" s="103"/>
      <c r="F205" s="103"/>
      <c r="G205" s="104"/>
      <c r="H205" s="20"/>
      <c r="I205" s="19"/>
    </row>
    <row r="206" spans="1:17" ht="12" customHeight="1" x14ac:dyDescent="0.35">
      <c r="A206" s="99" t="s">
        <v>8</v>
      </c>
      <c r="B206" s="91"/>
      <c r="C206" s="102">
        <v>305054624.73874104</v>
      </c>
      <c r="D206" s="91"/>
      <c r="E206" s="161"/>
      <c r="F206" s="103">
        <f>C206</f>
        <v>305054624.73874104</v>
      </c>
      <c r="G206" s="104">
        <v>1.5913655348609279E-2</v>
      </c>
      <c r="H206" s="17"/>
      <c r="I206" s="21"/>
      <c r="K206" s="142"/>
    </row>
    <row r="207" spans="1:17" ht="12" customHeight="1" x14ac:dyDescent="0.35">
      <c r="A207" s="95"/>
      <c r="B207" s="91"/>
      <c r="C207" s="102"/>
      <c r="D207" s="91"/>
      <c r="E207" s="108"/>
      <c r="F207" s="103"/>
      <c r="G207" s="109"/>
      <c r="H207" s="20"/>
      <c r="I207" s="18"/>
    </row>
    <row r="208" spans="1:17" ht="12" customHeight="1" x14ac:dyDescent="0.35">
      <c r="A208" s="95" t="s">
        <v>0</v>
      </c>
      <c r="B208" s="91"/>
      <c r="C208" s="82">
        <v>84749618</v>
      </c>
      <c r="D208" s="91"/>
      <c r="E208" s="162"/>
      <c r="F208" s="163">
        <f>C208</f>
        <v>84749618</v>
      </c>
      <c r="G208" s="134">
        <v>5.2837281301218514E-3</v>
      </c>
      <c r="H208" s="18"/>
      <c r="I208" s="21"/>
    </row>
    <row r="209" spans="1:9" ht="12" customHeight="1" x14ac:dyDescent="0.35">
      <c r="A209" s="95"/>
      <c r="B209" s="91"/>
      <c r="C209" s="95"/>
      <c r="D209" s="91"/>
      <c r="E209" s="95"/>
      <c r="F209" s="95"/>
      <c r="G209" s="109"/>
      <c r="H209" s="54"/>
      <c r="I209" s="54"/>
    </row>
    <row r="210" spans="1:9" ht="12" customHeight="1" x14ac:dyDescent="0.35">
      <c r="A210" s="95" t="s">
        <v>34</v>
      </c>
      <c r="B210" s="91"/>
      <c r="C210" s="103">
        <f>SUM(C200:C208)</f>
        <v>19767706536.976551</v>
      </c>
      <c r="D210" s="113" t="s">
        <v>33</v>
      </c>
      <c r="E210" s="103">
        <f>SUM(E200:E208)</f>
        <v>1035089943.9512781</v>
      </c>
      <c r="F210" s="103">
        <f>SUM(F200:F208)</f>
        <v>8567226601.5322876</v>
      </c>
      <c r="G210" s="109">
        <f>SUM(G200:G208)</f>
        <v>1.0000000000000002</v>
      </c>
      <c r="H210" s="54"/>
      <c r="I210" s="54"/>
    </row>
    <row r="211" spans="1:9" ht="12" customHeight="1" x14ac:dyDescent="0.35">
      <c r="A211" s="95"/>
      <c r="B211" s="91"/>
      <c r="C211" s="95"/>
      <c r="D211" s="91"/>
      <c r="E211" s="95"/>
      <c r="H211" s="54"/>
      <c r="I211" s="54"/>
    </row>
    <row r="212" spans="1:9" ht="12" customHeight="1" x14ac:dyDescent="0.35">
      <c r="A212" s="95"/>
      <c r="B212" s="91"/>
      <c r="C212" s="95"/>
      <c r="D212" s="91"/>
      <c r="E212" s="95"/>
      <c r="F212" s="114"/>
      <c r="G212" s="115"/>
      <c r="H212" s="54"/>
      <c r="I212" s="54"/>
    </row>
    <row r="213" spans="1:9" ht="12" customHeight="1" thickBot="1" x14ac:dyDescent="0.4">
      <c r="A213" s="53" t="s">
        <v>194</v>
      </c>
      <c r="B213" s="91"/>
      <c r="C213" s="95"/>
      <c r="D213" s="91"/>
      <c r="E213" s="95"/>
      <c r="F213" s="95"/>
      <c r="G213" s="95"/>
      <c r="H213" s="54"/>
      <c r="I213" s="54"/>
    </row>
    <row r="214" spans="1:9" ht="39.5" x14ac:dyDescent="0.35">
      <c r="A214" s="95"/>
      <c r="B214" s="95"/>
      <c r="C214" s="59" t="s">
        <v>195</v>
      </c>
      <c r="D214" s="60"/>
      <c r="E214" s="59" t="s">
        <v>196</v>
      </c>
      <c r="F214" s="59" t="s">
        <v>197</v>
      </c>
      <c r="G214" s="95"/>
      <c r="H214" s="184" t="s">
        <v>198</v>
      </c>
      <c r="I214" s="185"/>
    </row>
    <row r="215" spans="1:9" ht="12" customHeight="1" x14ac:dyDescent="0.35">
      <c r="A215" s="95"/>
      <c r="B215" s="95"/>
      <c r="C215" s="113"/>
      <c r="D215" s="113"/>
      <c r="E215" s="113"/>
      <c r="F215" s="113"/>
      <c r="G215" s="95"/>
      <c r="H215" s="186"/>
      <c r="I215" s="187"/>
    </row>
    <row r="216" spans="1:9" ht="12" customHeight="1" x14ac:dyDescent="0.35">
      <c r="A216" s="95" t="s">
        <v>10</v>
      </c>
      <c r="B216" s="95"/>
      <c r="C216" s="117">
        <f>$C$193*G200</f>
        <v>831792.21050260798</v>
      </c>
      <c r="D216" s="113"/>
      <c r="E216" s="164"/>
      <c r="F216" s="118">
        <f>C216/F200</f>
        <v>1.4026412121722985E-4</v>
      </c>
      <c r="G216" s="95"/>
      <c r="H216" s="186"/>
      <c r="I216" s="187"/>
    </row>
    <row r="217" spans="1:9" ht="12" customHeight="1" x14ac:dyDescent="0.35">
      <c r="A217" s="95"/>
      <c r="B217" s="95"/>
      <c r="C217" s="117"/>
      <c r="D217" s="113"/>
      <c r="E217" s="113"/>
      <c r="F217" s="118"/>
      <c r="G217" s="95"/>
      <c r="H217" s="186"/>
      <c r="I217" s="187"/>
    </row>
    <row r="218" spans="1:9" ht="12" customHeight="1" x14ac:dyDescent="0.35">
      <c r="A218" s="95" t="s">
        <v>2</v>
      </c>
      <c r="B218" s="95"/>
      <c r="C218" s="117">
        <f>$C$193*G202</f>
        <v>227673.80343577184</v>
      </c>
      <c r="D218" s="113"/>
      <c r="E218" s="164"/>
      <c r="F218" s="118">
        <f>C218/F202</f>
        <v>1.0131276032289539E-4</v>
      </c>
      <c r="G218" s="95"/>
      <c r="H218" s="186"/>
      <c r="I218" s="187"/>
    </row>
    <row r="219" spans="1:9" ht="12" customHeight="1" x14ac:dyDescent="0.35">
      <c r="A219" s="95"/>
      <c r="B219" s="95"/>
      <c r="C219" s="117"/>
      <c r="D219" s="113"/>
      <c r="E219" s="113"/>
      <c r="F219" s="120"/>
      <c r="G219" s="95"/>
      <c r="H219" s="186"/>
      <c r="I219" s="187"/>
    </row>
    <row r="220" spans="1:9" ht="12" customHeight="1" x14ac:dyDescent="0.35">
      <c r="A220" s="95" t="s">
        <v>9</v>
      </c>
      <c r="B220" s="95"/>
      <c r="C220" s="117">
        <f>$C$193*G204</f>
        <v>900096.82433720084</v>
      </c>
      <c r="D220" s="113"/>
      <c r="E220" s="165">
        <f>C220/I204</f>
        <v>3.4653251748369453E-2</v>
      </c>
      <c r="F220" s="118">
        <f>(C220-(E220*J204))/K204</f>
        <v>9.4320249867953183E-5</v>
      </c>
      <c r="G220" s="95"/>
      <c r="H220" s="186"/>
      <c r="I220" s="187"/>
    </row>
    <row r="221" spans="1:9" ht="12" customHeight="1" x14ac:dyDescent="0.35">
      <c r="A221" s="95"/>
      <c r="B221" s="95"/>
      <c r="C221" s="117"/>
      <c r="D221" s="113"/>
      <c r="E221" s="113"/>
      <c r="F221" s="120"/>
      <c r="G221" s="95"/>
      <c r="H221" s="186"/>
      <c r="I221" s="187"/>
    </row>
    <row r="222" spans="1:9" ht="12" customHeight="1" x14ac:dyDescent="0.35">
      <c r="A222" s="95" t="s">
        <v>8</v>
      </c>
      <c r="B222" s="95"/>
      <c r="C222" s="117">
        <f>$C$193*G206</f>
        <v>31859.138007915775</v>
      </c>
      <c r="D222" s="113"/>
      <c r="E222" s="164"/>
      <c r="F222" s="118">
        <f>C222/F206</f>
        <v>1.0443748569686824E-4</v>
      </c>
      <c r="G222" s="95"/>
      <c r="H222" s="186"/>
      <c r="I222" s="187"/>
    </row>
    <row r="223" spans="1:9" ht="12" customHeight="1" x14ac:dyDescent="0.35">
      <c r="A223" s="95"/>
      <c r="B223" s="95"/>
      <c r="C223" s="117"/>
      <c r="D223" s="113"/>
      <c r="E223" s="113"/>
      <c r="F223" s="118"/>
      <c r="G223" s="95"/>
      <c r="H223" s="186"/>
      <c r="I223" s="187"/>
    </row>
    <row r="224" spans="1:9" ht="12" customHeight="1" x14ac:dyDescent="0.35">
      <c r="A224" s="95" t="s">
        <v>0</v>
      </c>
      <c r="B224" s="95"/>
      <c r="C224" s="121">
        <f>$C$193*G208</f>
        <v>10578.023716503947</v>
      </c>
      <c r="D224" s="113"/>
      <c r="E224" s="164"/>
      <c r="F224" s="122">
        <f>C224/F208</f>
        <v>1.248150017207623E-4</v>
      </c>
      <c r="G224" s="95"/>
      <c r="H224" s="186"/>
      <c r="I224" s="187"/>
    </row>
    <row r="225" spans="1:10" ht="12" customHeight="1" x14ac:dyDescent="0.35">
      <c r="A225" s="95"/>
      <c r="B225" s="95"/>
      <c r="C225" s="117"/>
      <c r="D225" s="113"/>
      <c r="E225" s="113"/>
      <c r="F225" s="118"/>
      <c r="G225" s="95"/>
      <c r="H225" s="186"/>
      <c r="I225" s="187"/>
    </row>
    <row r="226" spans="1:10" ht="12" customHeight="1" thickBot="1" x14ac:dyDescent="0.4">
      <c r="A226" s="99" t="s">
        <v>29</v>
      </c>
      <c r="B226" s="95"/>
      <c r="C226" s="117">
        <f>SUM(C216:C225)</f>
        <v>2002000.0000000005</v>
      </c>
      <c r="D226" s="113"/>
      <c r="E226" s="113"/>
      <c r="F226" s="61">
        <f>C226/F210</f>
        <v>2.336812241714178E-4</v>
      </c>
      <c r="G226" s="95"/>
      <c r="H226" s="188"/>
      <c r="I226" s="189"/>
    </row>
    <row r="227" spans="1:10" ht="12" customHeight="1" x14ac:dyDescent="0.35">
      <c r="A227" s="95"/>
      <c r="B227" s="91"/>
      <c r="C227" s="95"/>
      <c r="D227" s="91"/>
      <c r="E227" s="95"/>
      <c r="F227" s="123"/>
      <c r="G227" s="124"/>
      <c r="H227" s="54"/>
      <c r="I227" s="54"/>
      <c r="J227" s="54"/>
    </row>
    <row r="228" spans="1:10" ht="12" customHeight="1" x14ac:dyDescent="0.35">
      <c r="A228" s="55"/>
      <c r="B228" s="55"/>
      <c r="C228" s="166"/>
      <c r="D228" s="95"/>
      <c r="E228" s="95"/>
      <c r="F228" s="95"/>
      <c r="G228" s="95"/>
    </row>
    <row r="229" spans="1:10" ht="15.5" x14ac:dyDescent="0.35">
      <c r="A229" s="91"/>
      <c r="B229" s="91"/>
      <c r="C229" s="91"/>
      <c r="D229" s="91"/>
      <c r="E229" s="91"/>
      <c r="F229" s="91"/>
      <c r="G229" s="91"/>
      <c r="I229" s="54"/>
      <c r="J229" s="54"/>
    </row>
    <row r="230" spans="1:10" ht="15.5" x14ac:dyDescent="0.35">
      <c r="A230" s="53" t="s">
        <v>199</v>
      </c>
      <c r="B230" s="91"/>
      <c r="C230" s="95"/>
      <c r="D230" s="91"/>
      <c r="E230" s="95"/>
      <c r="F230" s="95"/>
      <c r="G230" s="95"/>
      <c r="H230" s="54"/>
      <c r="I230" s="54"/>
      <c r="J230" s="54"/>
    </row>
    <row r="231" spans="1:10" ht="15.5" x14ac:dyDescent="0.35">
      <c r="A231" s="95"/>
      <c r="B231" s="91"/>
      <c r="C231" s="95"/>
      <c r="D231" s="91"/>
      <c r="E231" s="95"/>
      <c r="F231" s="95"/>
      <c r="G231" s="95"/>
      <c r="H231" s="54"/>
      <c r="I231" s="54"/>
      <c r="J231" s="54"/>
    </row>
    <row r="232" spans="1:10" ht="15.5" x14ac:dyDescent="0.35">
      <c r="A232" s="55" t="s">
        <v>38</v>
      </c>
      <c r="B232" s="91"/>
      <c r="C232" s="96">
        <v>20069400</v>
      </c>
      <c r="D232" s="91"/>
      <c r="E232" s="55"/>
      <c r="F232" s="95"/>
      <c r="G232" s="56"/>
      <c r="H232" s="91"/>
      <c r="I232" s="54"/>
      <c r="J232" s="54"/>
    </row>
    <row r="233" spans="1:10" ht="15.5" x14ac:dyDescent="0.35">
      <c r="A233" s="57" t="s">
        <v>37</v>
      </c>
      <c r="B233" s="91"/>
      <c r="C233" s="98">
        <v>0</v>
      </c>
      <c r="D233" s="91"/>
      <c r="E233" s="55"/>
      <c r="F233" s="95"/>
      <c r="G233" s="58"/>
      <c r="H233" s="91"/>
      <c r="I233" s="54"/>
      <c r="J233" s="54"/>
    </row>
    <row r="234" spans="1:10" ht="15.5" x14ac:dyDescent="0.35">
      <c r="A234" s="99" t="s">
        <v>186</v>
      </c>
      <c r="B234" s="91"/>
      <c r="C234" s="100">
        <f>SUM(C232:C233)</f>
        <v>20069400</v>
      </c>
      <c r="D234" s="91"/>
      <c r="E234" s="95"/>
      <c r="F234" s="95"/>
      <c r="G234" s="95"/>
      <c r="H234" s="54"/>
      <c r="I234" s="54"/>
      <c r="J234" s="54"/>
    </row>
    <row r="235" spans="1:10" ht="15.5" x14ac:dyDescent="0.35">
      <c r="A235" s="99"/>
      <c r="B235" s="91"/>
      <c r="C235" s="95"/>
      <c r="D235" s="91"/>
      <c r="E235" s="95"/>
      <c r="F235" s="95"/>
      <c r="G235" s="95"/>
      <c r="H235" s="54"/>
      <c r="I235" s="54"/>
      <c r="J235" s="54"/>
    </row>
    <row r="236" spans="1:10" ht="15.5" x14ac:dyDescent="0.35">
      <c r="A236" s="55"/>
      <c r="B236" s="91"/>
      <c r="C236" s="101"/>
      <c r="D236" s="91"/>
      <c r="E236" s="95"/>
      <c r="F236" s="95"/>
      <c r="G236" s="95"/>
      <c r="H236" s="54"/>
      <c r="I236" s="54"/>
      <c r="J236" s="54"/>
    </row>
    <row r="237" spans="1:10" ht="15.5" x14ac:dyDescent="0.35">
      <c r="A237" s="53"/>
      <c r="B237" s="91"/>
      <c r="C237" s="95"/>
      <c r="D237" s="91"/>
      <c r="E237" s="95"/>
      <c r="F237" s="95"/>
      <c r="G237" s="95"/>
      <c r="H237" s="54"/>
      <c r="I237" s="54"/>
      <c r="J237" s="54"/>
    </row>
    <row r="238" spans="1:10" ht="15.5" x14ac:dyDescent="0.35">
      <c r="A238" s="53" t="s">
        <v>200</v>
      </c>
      <c r="B238" s="91"/>
      <c r="C238" s="95"/>
      <c r="D238" s="91"/>
      <c r="E238" s="95"/>
      <c r="F238" s="95"/>
      <c r="G238" s="95"/>
      <c r="H238" s="54"/>
      <c r="I238" s="54"/>
      <c r="J238" s="54"/>
    </row>
    <row r="239" spans="1:10" ht="26.5" x14ac:dyDescent="0.35">
      <c r="A239" s="99"/>
      <c r="B239" s="91"/>
      <c r="C239" s="59" t="s">
        <v>174</v>
      </c>
      <c r="D239" s="91"/>
      <c r="E239" s="59" t="s">
        <v>175</v>
      </c>
      <c r="F239" s="54"/>
      <c r="G239" s="59" t="s">
        <v>190</v>
      </c>
      <c r="H239" s="59" t="s">
        <v>191</v>
      </c>
      <c r="I239" s="59" t="s">
        <v>192</v>
      </c>
    </row>
    <row r="240" spans="1:10" ht="12" customHeight="1" x14ac:dyDescent="0.35">
      <c r="A240" s="99"/>
      <c r="B240" s="91"/>
      <c r="C240" s="95"/>
      <c r="D240" s="91"/>
      <c r="E240" s="95"/>
      <c r="F240" s="54"/>
      <c r="G240" s="54"/>
      <c r="H240" s="54"/>
    </row>
    <row r="241" spans="1:9" ht="12" customHeight="1" x14ac:dyDescent="0.35">
      <c r="A241" s="99" t="s">
        <v>10</v>
      </c>
      <c r="B241" s="91"/>
      <c r="C241" s="102">
        <v>6946724332.6586723</v>
      </c>
      <c r="D241" s="91"/>
      <c r="E241" s="104">
        <v>0.35991938342165714</v>
      </c>
      <c r="F241" s="17"/>
      <c r="G241" s="70"/>
    </row>
    <row r="242" spans="1:9" ht="12" customHeight="1" x14ac:dyDescent="0.35">
      <c r="A242" s="99"/>
      <c r="B242" s="91"/>
      <c r="C242" s="102"/>
      <c r="D242" s="91"/>
      <c r="E242" s="104"/>
      <c r="F242" s="18"/>
      <c r="G242" s="19"/>
    </row>
    <row r="243" spans="1:9" ht="12" customHeight="1" x14ac:dyDescent="0.35">
      <c r="A243" s="99" t="s">
        <v>2</v>
      </c>
      <c r="B243" s="91"/>
      <c r="C243" s="102">
        <v>2250085594.0861526</v>
      </c>
      <c r="D243" s="91"/>
      <c r="E243" s="104">
        <v>0.1121010213014674</v>
      </c>
      <c r="F243" s="17"/>
      <c r="G243" s="21"/>
    </row>
    <row r="244" spans="1:9" ht="12" customHeight="1" x14ac:dyDescent="0.35">
      <c r="A244" s="99"/>
      <c r="B244" s="91"/>
      <c r="C244" s="102"/>
      <c r="D244" s="91"/>
      <c r="E244" s="104"/>
      <c r="F244" s="17"/>
      <c r="G244" s="18"/>
    </row>
    <row r="245" spans="1:9" ht="12" customHeight="1" x14ac:dyDescent="0.35">
      <c r="A245" s="99" t="s">
        <v>9</v>
      </c>
      <c r="B245" s="91"/>
      <c r="C245" s="102">
        <v>10181092367.492981</v>
      </c>
      <c r="D245" s="91"/>
      <c r="E245" s="104">
        <v>0.50808709586085887</v>
      </c>
      <c r="F245" s="17"/>
      <c r="G245" s="18">
        <v>25974382.74691071</v>
      </c>
      <c r="H245" s="142">
        <v>3858116.7817910379</v>
      </c>
      <c r="I245" s="142">
        <v>8141216603.2856102</v>
      </c>
    </row>
    <row r="246" spans="1:9" ht="12" customHeight="1" x14ac:dyDescent="0.35">
      <c r="A246" s="99"/>
      <c r="B246" s="91"/>
      <c r="C246" s="102"/>
      <c r="D246" s="91"/>
      <c r="E246" s="104"/>
      <c r="F246" s="20"/>
      <c r="G246" s="19"/>
    </row>
    <row r="247" spans="1:9" ht="12" customHeight="1" x14ac:dyDescent="0.35">
      <c r="A247" s="99" t="s">
        <v>8</v>
      </c>
      <c r="B247" s="91"/>
      <c r="C247" s="102">
        <v>305054624.73874104</v>
      </c>
      <c r="D247" s="91"/>
      <c r="E247" s="104">
        <v>1.5475130246228404E-2</v>
      </c>
      <c r="F247" s="17"/>
      <c r="G247" s="21"/>
    </row>
    <row r="248" spans="1:9" ht="12" customHeight="1" x14ac:dyDescent="0.35">
      <c r="A248" s="95"/>
      <c r="B248" s="91"/>
      <c r="C248" s="102"/>
      <c r="D248" s="91"/>
      <c r="E248" s="109"/>
      <c r="F248" s="20"/>
      <c r="G248" s="18"/>
    </row>
    <row r="249" spans="1:9" ht="12" customHeight="1" x14ac:dyDescent="0.35">
      <c r="A249" s="95" t="s">
        <v>0</v>
      </c>
      <c r="B249" s="91"/>
      <c r="C249" s="82">
        <v>84749618</v>
      </c>
      <c r="D249" s="91"/>
      <c r="E249" s="134">
        <v>4.4173691697880326E-3</v>
      </c>
      <c r="F249" s="18"/>
      <c r="G249" s="21"/>
    </row>
    <row r="250" spans="1:9" ht="12" customHeight="1" x14ac:dyDescent="0.35">
      <c r="A250" s="95"/>
      <c r="B250" s="91"/>
      <c r="C250" s="95"/>
      <c r="D250" s="91"/>
      <c r="E250" s="109"/>
      <c r="F250" s="54"/>
      <c r="G250" s="54"/>
    </row>
    <row r="251" spans="1:9" ht="12" customHeight="1" x14ac:dyDescent="0.35">
      <c r="A251" s="95" t="s">
        <v>34</v>
      </c>
      <c r="B251" s="91"/>
      <c r="C251" s="103">
        <f>SUM(C241:C249)</f>
        <v>19767706536.976551</v>
      </c>
      <c r="D251" s="113"/>
      <c r="E251" s="109">
        <f>SUM(E241:E249)</f>
        <v>0.99999999999999989</v>
      </c>
      <c r="F251" s="54"/>
      <c r="G251" s="54"/>
    </row>
    <row r="252" spans="1:9" ht="12" customHeight="1" x14ac:dyDescent="0.35">
      <c r="A252" s="95"/>
      <c r="B252" s="91"/>
      <c r="C252" s="95"/>
      <c r="D252" s="91"/>
      <c r="E252" s="95"/>
      <c r="H252" s="54"/>
      <c r="I252" s="54"/>
    </row>
    <row r="253" spans="1:9" ht="12" customHeight="1" x14ac:dyDescent="0.35">
      <c r="A253" s="95"/>
      <c r="B253" s="91"/>
      <c r="C253" s="95"/>
      <c r="D253" s="91"/>
      <c r="E253" s="95"/>
      <c r="F253" s="114"/>
      <c r="G253" s="115"/>
      <c r="H253" s="54"/>
      <c r="I253" s="54"/>
    </row>
    <row r="254" spans="1:9" ht="12" customHeight="1" thickBot="1" x14ac:dyDescent="0.4">
      <c r="A254" s="53" t="s">
        <v>201</v>
      </c>
      <c r="B254" s="91"/>
      <c r="C254" s="95"/>
      <c r="D254" s="91"/>
      <c r="E254" s="95"/>
      <c r="F254" s="95"/>
      <c r="G254" s="95"/>
      <c r="H254" s="54"/>
      <c r="I254" s="54"/>
    </row>
    <row r="255" spans="1:9" ht="39.5" x14ac:dyDescent="0.35">
      <c r="A255" s="95"/>
      <c r="B255" s="95"/>
      <c r="C255" s="59" t="s">
        <v>202</v>
      </c>
      <c r="D255" s="60"/>
      <c r="E255" s="59" t="s">
        <v>203</v>
      </c>
      <c r="F255" s="59" t="s">
        <v>204</v>
      </c>
      <c r="G255" s="95"/>
      <c r="H255" s="184" t="s">
        <v>198</v>
      </c>
      <c r="I255" s="185"/>
    </row>
    <row r="256" spans="1:9" ht="12" customHeight="1" x14ac:dyDescent="0.35">
      <c r="A256" s="95"/>
      <c r="B256" s="95"/>
      <c r="C256" s="113"/>
      <c r="D256" s="113"/>
      <c r="E256" s="113"/>
      <c r="F256" s="113"/>
      <c r="G256" s="95"/>
      <c r="H256" s="186"/>
      <c r="I256" s="187"/>
    </row>
    <row r="257" spans="1:10" ht="12" customHeight="1" x14ac:dyDescent="0.35">
      <c r="A257" s="95" t="s">
        <v>10</v>
      </c>
      <c r="B257" s="95"/>
      <c r="C257" s="117">
        <f>$C$234*E241</f>
        <v>7223366.0736426059</v>
      </c>
      <c r="D257" s="113"/>
      <c r="E257" s="164"/>
      <c r="F257" s="118">
        <f>C257/C241</f>
        <v>1.0398233365448743E-3</v>
      </c>
      <c r="G257" s="95"/>
      <c r="H257" s="186"/>
      <c r="I257" s="187"/>
    </row>
    <row r="258" spans="1:10" ht="12" customHeight="1" x14ac:dyDescent="0.35">
      <c r="A258" s="95"/>
      <c r="B258" s="95"/>
      <c r="C258" s="117"/>
      <c r="D258" s="113"/>
      <c r="E258" s="113"/>
      <c r="F258" s="118"/>
      <c r="G258" s="95"/>
      <c r="H258" s="186"/>
      <c r="I258" s="187"/>
    </row>
    <row r="259" spans="1:10" ht="12" customHeight="1" x14ac:dyDescent="0.35">
      <c r="A259" s="95" t="s">
        <v>2</v>
      </c>
      <c r="B259" s="95"/>
      <c r="C259" s="117">
        <f>$C$234*E243</f>
        <v>2249800.2369076698</v>
      </c>
      <c r="D259" s="113"/>
      <c r="E259" s="164"/>
      <c r="F259" s="118">
        <f>C259/C243</f>
        <v>9.9987317941182641E-4</v>
      </c>
      <c r="G259" s="95"/>
      <c r="H259" s="186"/>
      <c r="I259" s="187"/>
    </row>
    <row r="260" spans="1:10" ht="12" customHeight="1" x14ac:dyDescent="0.35">
      <c r="A260" s="95"/>
      <c r="B260" s="95"/>
      <c r="C260" s="117"/>
      <c r="D260" s="113"/>
      <c r="E260" s="113"/>
      <c r="F260" s="120"/>
      <c r="G260" s="95"/>
      <c r="H260" s="186"/>
      <c r="I260" s="187"/>
    </row>
    <row r="261" spans="1:10" ht="12" customHeight="1" x14ac:dyDescent="0.35">
      <c r="A261" s="95" t="s">
        <v>9</v>
      </c>
      <c r="B261" s="95"/>
      <c r="C261" s="117">
        <f>$C$234*E245</f>
        <v>10197003.161669921</v>
      </c>
      <c r="D261" s="113"/>
      <c r="E261" s="165">
        <f>C261/G245</f>
        <v>0.39257922935176243</v>
      </c>
      <c r="F261" s="118">
        <f>(C261-(E261*H245))/I245</f>
        <v>1.0664728715387918E-3</v>
      </c>
      <c r="G261" s="95"/>
      <c r="H261" s="186"/>
      <c r="I261" s="187"/>
    </row>
    <row r="262" spans="1:10" ht="12" customHeight="1" x14ac:dyDescent="0.35">
      <c r="A262" s="95"/>
      <c r="B262" s="95"/>
      <c r="C262" s="117"/>
      <c r="D262" s="113"/>
      <c r="E262" s="113"/>
      <c r="F262" s="120"/>
      <c r="G262" s="95"/>
      <c r="H262" s="186"/>
      <c r="I262" s="187"/>
    </row>
    <row r="263" spans="1:10" ht="12" customHeight="1" x14ac:dyDescent="0.35">
      <c r="A263" s="95" t="s">
        <v>8</v>
      </c>
      <c r="B263" s="95"/>
      <c r="C263" s="117">
        <f>$C$234*E247</f>
        <v>310576.57896365633</v>
      </c>
      <c r="D263" s="113"/>
      <c r="E263" s="164"/>
      <c r="F263" s="118">
        <f>C263/C247</f>
        <v>1.0181015260124133E-3</v>
      </c>
      <c r="G263" s="95"/>
      <c r="H263" s="186"/>
      <c r="I263" s="187"/>
    </row>
    <row r="264" spans="1:10" ht="12" customHeight="1" x14ac:dyDescent="0.35">
      <c r="A264" s="95"/>
      <c r="B264" s="95"/>
      <c r="C264" s="117"/>
      <c r="D264" s="113"/>
      <c r="E264" s="113"/>
      <c r="F264" s="118"/>
      <c r="G264" s="95"/>
      <c r="H264" s="186"/>
      <c r="I264" s="187"/>
    </row>
    <row r="265" spans="1:10" ht="12" customHeight="1" x14ac:dyDescent="0.35">
      <c r="A265" s="95" t="s">
        <v>0</v>
      </c>
      <c r="B265" s="95"/>
      <c r="C265" s="121">
        <f>$C$234*E249</f>
        <v>88653.948816143937</v>
      </c>
      <c r="D265" s="113"/>
      <c r="E265" s="164"/>
      <c r="F265" s="122">
        <f>C265/C249</f>
        <v>1.0460690078407662E-3</v>
      </c>
      <c r="G265" s="95"/>
      <c r="H265" s="186"/>
      <c r="I265" s="187"/>
    </row>
    <row r="266" spans="1:10" ht="12" customHeight="1" x14ac:dyDescent="0.35">
      <c r="A266" s="95"/>
      <c r="B266" s="95"/>
      <c r="C266" s="117"/>
      <c r="D266" s="113"/>
      <c r="E266" s="113"/>
      <c r="F266" s="118"/>
      <c r="G266" s="95"/>
      <c r="H266" s="186"/>
      <c r="I266" s="187"/>
    </row>
    <row r="267" spans="1:10" ht="12" customHeight="1" thickBot="1" x14ac:dyDescent="0.4">
      <c r="A267" s="99" t="s">
        <v>29</v>
      </c>
      <c r="B267" s="95"/>
      <c r="C267" s="117">
        <f>SUM(C257:C266)</f>
        <v>20069399.999999996</v>
      </c>
      <c r="D267" s="113"/>
      <c r="E267" s="113"/>
      <c r="F267" s="61">
        <f>C267/C251</f>
        <v>1.015261935544172E-3</v>
      </c>
      <c r="G267" s="95"/>
      <c r="H267" s="188"/>
      <c r="I267" s="189"/>
    </row>
    <row r="268" spans="1:10" ht="12" customHeight="1" x14ac:dyDescent="0.35">
      <c r="A268" s="95"/>
      <c r="B268" s="91"/>
      <c r="C268" s="95"/>
      <c r="D268" s="91"/>
      <c r="E268" s="95"/>
      <c r="F268" s="123"/>
      <c r="G268" s="124"/>
      <c r="H268" s="54"/>
      <c r="I268" s="54"/>
      <c r="J268" s="54"/>
    </row>
    <row r="269" spans="1:10" ht="12" customHeight="1" x14ac:dyDescent="0.35">
      <c r="A269" s="55"/>
      <c r="B269" s="55"/>
      <c r="C269" s="166"/>
      <c r="D269" s="95"/>
      <c r="E269" s="95"/>
      <c r="F269" s="95"/>
      <c r="G269" s="95"/>
    </row>
    <row r="270" spans="1:10" ht="12" customHeight="1" x14ac:dyDescent="0.35">
      <c r="A270" s="55"/>
      <c r="B270" s="55"/>
      <c r="C270" s="166"/>
      <c r="D270" s="95"/>
      <c r="E270" s="95"/>
      <c r="F270" s="95"/>
      <c r="G270" s="95"/>
    </row>
    <row r="271" spans="1:10" ht="12" customHeight="1" x14ac:dyDescent="0.35">
      <c r="A271" s="53" t="s">
        <v>279</v>
      </c>
      <c r="B271" s="91"/>
      <c r="C271" s="95"/>
      <c r="D271" s="91"/>
      <c r="E271" s="95"/>
      <c r="F271" s="95"/>
      <c r="G271" s="95"/>
    </row>
    <row r="272" spans="1:10" ht="12" customHeight="1" x14ac:dyDescent="0.35">
      <c r="A272" s="95"/>
      <c r="B272" s="91"/>
      <c r="C272" s="95"/>
      <c r="D272" s="91"/>
      <c r="E272" s="95"/>
      <c r="F272" s="95"/>
      <c r="G272" s="95"/>
    </row>
    <row r="273" spans="1:7" ht="12" customHeight="1" x14ac:dyDescent="0.35">
      <c r="A273" s="55" t="s">
        <v>38</v>
      </c>
      <c r="B273" s="91"/>
      <c r="C273" s="96">
        <v>28119</v>
      </c>
      <c r="D273" s="91"/>
      <c r="E273" s="55"/>
      <c r="F273" s="95"/>
      <c r="G273" s="56"/>
    </row>
    <row r="274" spans="1:7" ht="12" customHeight="1" x14ac:dyDescent="0.35">
      <c r="A274" s="57" t="s">
        <v>37</v>
      </c>
      <c r="B274" s="91"/>
      <c r="C274" s="98">
        <v>29000</v>
      </c>
      <c r="D274" s="91"/>
      <c r="E274" s="55"/>
      <c r="F274" s="95"/>
      <c r="G274" s="58"/>
    </row>
    <row r="275" spans="1:7" ht="12" customHeight="1" x14ac:dyDescent="0.35">
      <c r="A275" s="99" t="s">
        <v>186</v>
      </c>
      <c r="B275" s="91"/>
      <c r="C275" s="100">
        <f>SUM(C273:C274)</f>
        <v>57119</v>
      </c>
      <c r="D275" s="91"/>
      <c r="E275" s="95"/>
      <c r="F275" s="95"/>
      <c r="G275" s="95"/>
    </row>
    <row r="276" spans="1:7" ht="12" customHeight="1" x14ac:dyDescent="0.35">
      <c r="A276" s="99"/>
      <c r="B276" s="91"/>
      <c r="C276" s="95"/>
      <c r="D276" s="91"/>
      <c r="E276" s="95"/>
      <c r="F276" s="95"/>
      <c r="G276" s="95"/>
    </row>
    <row r="277" spans="1:7" ht="12" customHeight="1" x14ac:dyDescent="0.35">
      <c r="A277" s="55"/>
      <c r="B277" s="91"/>
      <c r="C277" s="101"/>
      <c r="D277" s="91"/>
      <c r="E277" s="95"/>
      <c r="F277" s="95"/>
      <c r="G277" s="95"/>
    </row>
    <row r="278" spans="1:7" ht="12" customHeight="1" x14ac:dyDescent="0.35">
      <c r="A278" s="53"/>
      <c r="B278" s="91"/>
      <c r="C278" s="95"/>
      <c r="D278" s="91"/>
      <c r="E278" s="95"/>
      <c r="F278" s="95"/>
      <c r="G278" s="95"/>
    </row>
    <row r="279" spans="1:7" ht="12" customHeight="1" x14ac:dyDescent="0.35">
      <c r="A279" s="53" t="s">
        <v>280</v>
      </c>
      <c r="B279" s="91"/>
      <c r="C279" s="95"/>
      <c r="D279" s="91"/>
      <c r="E279" s="95"/>
      <c r="F279" s="95"/>
      <c r="G279" s="95"/>
    </row>
    <row r="280" spans="1:7" ht="41.4" customHeight="1" x14ac:dyDescent="0.35">
      <c r="A280" s="99"/>
      <c r="B280" s="91"/>
      <c r="C280" s="59" t="s">
        <v>174</v>
      </c>
      <c r="D280" s="91"/>
      <c r="E280" s="59" t="s">
        <v>49</v>
      </c>
      <c r="F280" s="59" t="s">
        <v>48</v>
      </c>
      <c r="G280" s="59" t="s">
        <v>175</v>
      </c>
    </row>
    <row r="281" spans="1:7" ht="12" customHeight="1" x14ac:dyDescent="0.35">
      <c r="A281" s="99"/>
      <c r="B281" s="91"/>
      <c r="C281" s="95"/>
      <c r="D281" s="91"/>
      <c r="E281" s="95"/>
      <c r="F281" s="95"/>
      <c r="G281" s="95"/>
    </row>
    <row r="282" spans="1:7" ht="12" customHeight="1" x14ac:dyDescent="0.35">
      <c r="A282" s="99" t="s">
        <v>10</v>
      </c>
      <c r="B282" s="91"/>
      <c r="C282" s="102">
        <v>6946724332.6586723</v>
      </c>
      <c r="D282" s="91"/>
      <c r="E282" s="102">
        <v>979598674.09739566</v>
      </c>
      <c r="F282" s="103">
        <f>C282-E282</f>
        <v>5967125658.5612764</v>
      </c>
      <c r="G282" s="104">
        <v>0.32469012958724708</v>
      </c>
    </row>
    <row r="283" spans="1:7" ht="12" customHeight="1" x14ac:dyDescent="0.35">
      <c r="A283" s="99"/>
      <c r="B283" s="91"/>
      <c r="C283" s="102"/>
      <c r="D283" s="91"/>
      <c r="E283" s="105"/>
      <c r="F283" s="103"/>
      <c r="G283" s="104"/>
    </row>
    <row r="284" spans="1:7" ht="12" customHeight="1" x14ac:dyDescent="0.35">
      <c r="A284" s="99" t="s">
        <v>2</v>
      </c>
      <c r="B284" s="91"/>
      <c r="C284" s="102">
        <v>2250085594.0861526</v>
      </c>
      <c r="D284" s="91"/>
      <c r="E284" s="102">
        <v>2848397.9999999972</v>
      </c>
      <c r="F284" s="103">
        <f>C284-E284</f>
        <v>2247237196.0861526</v>
      </c>
      <c r="G284" s="104">
        <v>0.11911757788890198</v>
      </c>
    </row>
    <row r="285" spans="1:7" ht="12" customHeight="1" x14ac:dyDescent="0.35">
      <c r="A285" s="99"/>
      <c r="B285" s="91"/>
      <c r="C285" s="102"/>
      <c r="D285" s="91"/>
      <c r="E285" s="102"/>
      <c r="F285" s="103"/>
      <c r="G285" s="104"/>
    </row>
    <row r="286" spans="1:7" ht="12" customHeight="1" x14ac:dyDescent="0.35">
      <c r="A286" s="99" t="s">
        <v>9</v>
      </c>
      <c r="B286" s="91"/>
      <c r="C286" s="102">
        <v>10181092367.492981</v>
      </c>
      <c r="D286" s="91"/>
      <c r="E286" s="102">
        <v>15702375.999999993</v>
      </c>
      <c r="F286" s="103">
        <f>C286-E286</f>
        <v>10165389991.492981</v>
      </c>
      <c r="G286" s="104">
        <v>0.5397275811009683</v>
      </c>
    </row>
    <row r="287" spans="1:7" ht="12" customHeight="1" x14ac:dyDescent="0.35">
      <c r="A287" s="99"/>
      <c r="B287" s="91"/>
      <c r="C287" s="102"/>
      <c r="D287" s="91"/>
      <c r="E287" s="103"/>
      <c r="F287" s="103"/>
      <c r="G287" s="104"/>
    </row>
    <row r="288" spans="1:7" ht="12" customHeight="1" x14ac:dyDescent="0.35">
      <c r="A288" s="99" t="s">
        <v>8</v>
      </c>
      <c r="B288" s="91"/>
      <c r="C288" s="102">
        <v>305054624.73874104</v>
      </c>
      <c r="D288" s="91"/>
      <c r="E288" s="108"/>
      <c r="F288" s="103">
        <f>C288-E288</f>
        <v>305054624.73874104</v>
      </c>
      <c r="G288" s="104">
        <v>1.6464711422882472E-2</v>
      </c>
    </row>
    <row r="289" spans="1:7" ht="12" customHeight="1" x14ac:dyDescent="0.35">
      <c r="A289" s="95"/>
      <c r="B289" s="91"/>
      <c r="C289" s="102"/>
      <c r="D289" s="91"/>
      <c r="E289" s="108"/>
      <c r="F289" s="103"/>
      <c r="G289" s="109"/>
    </row>
    <row r="290" spans="1:7" ht="12" customHeight="1" x14ac:dyDescent="0.35">
      <c r="A290" s="95" t="s">
        <v>0</v>
      </c>
      <c r="B290" s="91"/>
      <c r="C290" s="82">
        <v>84749618</v>
      </c>
      <c r="D290" s="91"/>
      <c r="E290" s="158"/>
      <c r="F290" s="163">
        <v>0</v>
      </c>
      <c r="G290" s="134">
        <v>0</v>
      </c>
    </row>
    <row r="291" spans="1:7" ht="12" customHeight="1" x14ac:dyDescent="0.35">
      <c r="A291" s="95"/>
      <c r="B291" s="91"/>
      <c r="C291" s="95"/>
      <c r="D291" s="91"/>
      <c r="E291" s="95"/>
      <c r="F291" s="95"/>
      <c r="G291" s="109"/>
    </row>
    <row r="292" spans="1:7" ht="12" customHeight="1" x14ac:dyDescent="0.35">
      <c r="A292" s="95" t="s">
        <v>34</v>
      </c>
      <c r="B292" s="91"/>
      <c r="C292" s="103">
        <f>SUM(C282:C290)</f>
        <v>19767706536.976551</v>
      </c>
      <c r="D292" s="113" t="s">
        <v>33</v>
      </c>
      <c r="E292" s="103">
        <f>SUM(E282:E290)</f>
        <v>998149448.09739566</v>
      </c>
      <c r="F292" s="103">
        <f>SUM(F282:F290)</f>
        <v>18684807470.879154</v>
      </c>
      <c r="G292" s="109">
        <f>SUM(G282:G288)</f>
        <v>0.99999999999999978</v>
      </c>
    </row>
    <row r="293" spans="1:7" ht="12" customHeight="1" x14ac:dyDescent="0.35">
      <c r="A293" s="95"/>
      <c r="B293" s="91"/>
      <c r="C293" s="95"/>
      <c r="D293" s="91"/>
      <c r="E293" s="95"/>
    </row>
    <row r="294" spans="1:7" ht="12" customHeight="1" x14ac:dyDescent="0.35">
      <c r="A294" s="95"/>
      <c r="B294" s="91"/>
      <c r="C294" s="95"/>
      <c r="D294" s="91"/>
      <c r="E294" s="95"/>
      <c r="F294" s="114"/>
      <c r="G294" s="115"/>
    </row>
    <row r="295" spans="1:7" ht="12" customHeight="1" x14ac:dyDescent="0.35">
      <c r="A295" s="53" t="s">
        <v>281</v>
      </c>
      <c r="B295" s="91"/>
      <c r="C295" s="95"/>
      <c r="D295" s="91"/>
      <c r="E295" s="95"/>
      <c r="F295" s="95"/>
      <c r="G295" s="95"/>
    </row>
    <row r="296" spans="1:7" ht="54" customHeight="1" x14ac:dyDescent="0.35">
      <c r="A296" s="95"/>
      <c r="B296" s="95"/>
      <c r="C296" s="59" t="s">
        <v>282</v>
      </c>
      <c r="D296" s="60"/>
      <c r="E296" s="59" t="s">
        <v>283</v>
      </c>
      <c r="F296" s="95"/>
      <c r="G296" s="95"/>
    </row>
    <row r="297" spans="1:7" ht="12" customHeight="1" x14ac:dyDescent="0.35">
      <c r="A297" s="95"/>
      <c r="B297" s="95"/>
      <c r="C297" s="113"/>
      <c r="D297" s="113"/>
      <c r="E297" s="113"/>
      <c r="F297" s="95"/>
      <c r="G297" s="116"/>
    </row>
    <row r="298" spans="1:7" ht="12" customHeight="1" x14ac:dyDescent="0.35">
      <c r="A298" s="95" t="s">
        <v>10</v>
      </c>
      <c r="B298" s="95"/>
      <c r="C298" s="167">
        <f>$C$275*G282</f>
        <v>18545.975511893965</v>
      </c>
      <c r="D298" s="113"/>
      <c r="E298" s="118">
        <f>C298/F282</f>
        <v>3.1080249642950462E-6</v>
      </c>
      <c r="F298" s="95"/>
      <c r="G298" s="119"/>
    </row>
    <row r="299" spans="1:7" ht="12" customHeight="1" x14ac:dyDescent="0.35">
      <c r="A299" s="95"/>
      <c r="B299" s="95"/>
      <c r="C299" s="117"/>
      <c r="D299" s="113"/>
      <c r="E299" s="118"/>
      <c r="F299" s="95"/>
      <c r="G299" s="95"/>
    </row>
    <row r="300" spans="1:7" ht="12" customHeight="1" x14ac:dyDescent="0.35">
      <c r="A300" s="95" t="s">
        <v>2</v>
      </c>
      <c r="B300" s="95"/>
      <c r="C300" s="167">
        <f>$C$275*G284</f>
        <v>6803.8769314361925</v>
      </c>
      <c r="D300" s="113"/>
      <c r="E300" s="118">
        <f>C300/F284</f>
        <v>3.0276630091767811E-6</v>
      </c>
      <c r="F300" s="95"/>
      <c r="G300" s="95"/>
    </row>
    <row r="301" spans="1:7" ht="12" customHeight="1" x14ac:dyDescent="0.35">
      <c r="A301" s="95"/>
      <c r="B301" s="95"/>
      <c r="C301" s="117"/>
      <c r="D301" s="113"/>
      <c r="E301" s="120"/>
      <c r="F301" s="95"/>
      <c r="G301" s="95"/>
    </row>
    <row r="302" spans="1:7" ht="12" customHeight="1" x14ac:dyDescent="0.35">
      <c r="A302" s="95" t="s">
        <v>9</v>
      </c>
      <c r="B302" s="95"/>
      <c r="C302" s="167">
        <f>$C$275*G286</f>
        <v>30828.699704906208</v>
      </c>
      <c r="D302" s="113"/>
      <c r="E302" s="118">
        <f>C302/F286</f>
        <v>3.0327119501273977E-6</v>
      </c>
      <c r="F302" s="95"/>
      <c r="G302" s="95"/>
    </row>
    <row r="303" spans="1:7" ht="12" customHeight="1" x14ac:dyDescent="0.35">
      <c r="A303" s="95"/>
      <c r="B303" s="95"/>
      <c r="C303" s="117"/>
      <c r="D303" s="113"/>
      <c r="E303" s="118"/>
      <c r="F303" s="95"/>
      <c r="G303" s="95"/>
    </row>
    <row r="304" spans="1:7" ht="12" customHeight="1" x14ac:dyDescent="0.35">
      <c r="A304" s="95" t="s">
        <v>8</v>
      </c>
      <c r="B304" s="95"/>
      <c r="C304" s="168">
        <f>$C$275*G288</f>
        <v>940.44785176362393</v>
      </c>
      <c r="D304" s="113"/>
      <c r="E304" s="122">
        <f>C304/F288</f>
        <v>3.0828834428229201E-6</v>
      </c>
      <c r="F304" s="95"/>
      <c r="G304" s="95"/>
    </row>
    <row r="305" spans="1:7" ht="12" customHeight="1" x14ac:dyDescent="0.35">
      <c r="A305" s="95"/>
      <c r="B305" s="95"/>
      <c r="C305" s="117"/>
      <c r="D305" s="113"/>
      <c r="E305" s="118"/>
      <c r="F305" s="95"/>
      <c r="G305" s="95"/>
    </row>
    <row r="306" spans="1:7" ht="12" customHeight="1" x14ac:dyDescent="0.35">
      <c r="A306" s="99" t="s">
        <v>29</v>
      </c>
      <c r="B306" s="95"/>
      <c r="C306" s="117">
        <f>SUM(C298:C305)</f>
        <v>57118.999999999993</v>
      </c>
      <c r="D306" s="113"/>
      <c r="E306" s="61">
        <f>C306/F292</f>
        <v>3.0569755716788471E-6</v>
      </c>
      <c r="F306" s="95"/>
      <c r="G306" s="95"/>
    </row>
    <row r="307" spans="1:7" ht="12" customHeight="1" x14ac:dyDescent="0.35">
      <c r="A307" s="95"/>
      <c r="B307" s="91"/>
      <c r="C307" s="95"/>
      <c r="D307" s="91"/>
      <c r="E307" s="95"/>
      <c r="F307" s="123"/>
      <c r="G307" s="124"/>
    </row>
    <row r="308" spans="1:7" ht="12" customHeight="1" x14ac:dyDescent="0.35">
      <c r="A308" s="55"/>
      <c r="B308" s="55"/>
      <c r="C308" s="115"/>
      <c r="D308" s="95"/>
      <c r="E308" s="95"/>
      <c r="F308" s="95"/>
      <c r="G308" s="95"/>
    </row>
    <row r="309" spans="1:7" ht="12" customHeight="1" x14ac:dyDescent="0.35">
      <c r="A309" s="55"/>
      <c r="B309" s="55"/>
      <c r="C309" s="166"/>
      <c r="D309" s="95"/>
      <c r="E309" s="95"/>
      <c r="F309" s="95"/>
      <c r="G309" s="95"/>
    </row>
    <row r="310" spans="1:7" ht="12" customHeight="1" x14ac:dyDescent="0.35">
      <c r="A310" s="69" t="s">
        <v>284</v>
      </c>
      <c r="B310" s="55"/>
      <c r="C310" s="166"/>
      <c r="D310" s="95"/>
      <c r="E310" s="95"/>
      <c r="F310" s="95"/>
      <c r="G310" s="95"/>
    </row>
    <row r="311" spans="1:7" ht="15" thickBot="1" x14ac:dyDescent="0.4"/>
    <row r="312" spans="1:7" x14ac:dyDescent="0.35">
      <c r="A312" s="71"/>
      <c r="B312" s="72"/>
      <c r="C312" s="73"/>
    </row>
    <row r="313" spans="1:7" x14ac:dyDescent="0.35">
      <c r="A313" s="74"/>
      <c r="B313" s="55"/>
      <c r="C313" s="75"/>
    </row>
    <row r="314" spans="1:7" x14ac:dyDescent="0.35">
      <c r="A314" s="74" t="s">
        <v>205</v>
      </c>
      <c r="B314" s="55"/>
      <c r="C314" s="76">
        <f>SUM(E38,E75,G92,G109,H128,E172,F216,F257,E298)</f>
        <v>1.768617878039816E-2</v>
      </c>
    </row>
    <row r="315" spans="1:7" x14ac:dyDescent="0.35">
      <c r="A315" s="74"/>
      <c r="B315" s="55"/>
      <c r="C315" s="76"/>
    </row>
    <row r="316" spans="1:7" x14ac:dyDescent="0.35">
      <c r="A316" s="74" t="s">
        <v>206</v>
      </c>
      <c r="B316" s="55"/>
      <c r="C316" s="76">
        <f>SUM(E40,E77,G94,G111,H130,E174,F218,F259,E300)</f>
        <v>1.5672972401541096E-2</v>
      </c>
    </row>
    <row r="317" spans="1:7" x14ac:dyDescent="0.35">
      <c r="A317" s="74"/>
      <c r="B317" s="55"/>
      <c r="C317" s="76"/>
    </row>
    <row r="318" spans="1:7" x14ac:dyDescent="0.35">
      <c r="A318" s="74" t="s">
        <v>9</v>
      </c>
      <c r="B318" s="55"/>
      <c r="C318" s="76"/>
    </row>
    <row r="319" spans="1:7" x14ac:dyDescent="0.35">
      <c r="A319" s="77" t="s">
        <v>207</v>
      </c>
      <c r="B319" s="55"/>
      <c r="C319" s="76">
        <f>SUM(E42,E79,H113,H132,E176,F220,F261,E302)</f>
        <v>1.4757565998564549E-2</v>
      </c>
    </row>
    <row r="320" spans="1:7" x14ac:dyDescent="0.35">
      <c r="A320" s="77" t="s">
        <v>208</v>
      </c>
      <c r="B320" s="55"/>
      <c r="C320" s="78">
        <f>SUM(E220,E261)</f>
        <v>0.4272324811001319</v>
      </c>
    </row>
    <row r="321" spans="1:3" x14ac:dyDescent="0.35">
      <c r="A321" s="77" t="s">
        <v>209</v>
      </c>
      <c r="B321" s="55"/>
      <c r="C321" s="76">
        <f>SUM(E42,E79,H113,H132,E176,E302)</f>
        <v>1.3596772877157805E-2</v>
      </c>
    </row>
    <row r="322" spans="1:3" x14ac:dyDescent="0.35">
      <c r="A322" s="74"/>
      <c r="B322" s="55"/>
      <c r="C322" s="76"/>
    </row>
    <row r="323" spans="1:3" x14ac:dyDescent="0.35">
      <c r="A323" s="74" t="s">
        <v>210</v>
      </c>
      <c r="B323" s="55"/>
      <c r="C323" s="76">
        <f>SUM(E44,E81,G98,G115,H134,E178,F222,F263,E304)</f>
        <v>1.4452070322593345E-2</v>
      </c>
    </row>
    <row r="324" spans="1:3" x14ac:dyDescent="0.35">
      <c r="A324" s="74"/>
      <c r="B324" s="55"/>
      <c r="C324" s="76"/>
    </row>
    <row r="325" spans="1:3" x14ac:dyDescent="0.35">
      <c r="A325" s="74" t="s">
        <v>211</v>
      </c>
      <c r="B325" s="55"/>
      <c r="C325" s="76">
        <f>SUM(G100,G117,G136,F224,F265)</f>
        <v>3.1003062698135072E-3</v>
      </c>
    </row>
    <row r="326" spans="1:3" x14ac:dyDescent="0.35">
      <c r="A326" s="74"/>
      <c r="B326" s="55"/>
      <c r="C326" s="75"/>
    </row>
    <row r="327" spans="1:3" ht="15" thickBot="1" x14ac:dyDescent="0.4">
      <c r="A327" s="79" t="s">
        <v>212</v>
      </c>
      <c r="B327" s="80"/>
      <c r="C327" s="81">
        <f>SUM(E46,E83,G102,G119,G138,E180,F226,F267,E306)</f>
        <v>1.5954918724205659E-2</v>
      </c>
    </row>
  </sheetData>
  <mergeCells count="9">
    <mergeCell ref="A1:G1"/>
    <mergeCell ref="A2:G2"/>
    <mergeCell ref="A3:G3"/>
    <mergeCell ref="H255:I267"/>
    <mergeCell ref="A8:G8"/>
    <mergeCell ref="A87:G87"/>
    <mergeCell ref="A147:G147"/>
    <mergeCell ref="A187:G187"/>
    <mergeCell ref="H214:I226"/>
  </mergeCells>
  <pageMargins left="0.7" right="0.7" top="0.75" bottom="0.75" header="0.3" footer="0.3"/>
  <pageSetup scale="12" orientation="landscape" r:id="rId1"/>
  <rowBreaks count="2" manualBreakCount="2">
    <brk id="71" max="16383" man="1"/>
    <brk id="12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378B14-69E6-4061-BC25-4D195FE696A6}">
  <dimension ref="A1:H88"/>
  <sheetViews>
    <sheetView workbookViewId="0">
      <pane ySplit="8" topLeftCell="A10" activePane="bottomLeft" state="frozen"/>
      <selection pane="bottomLeft" activeCell="A80" sqref="A80"/>
    </sheetView>
  </sheetViews>
  <sheetFormatPr defaultRowHeight="14.5" x14ac:dyDescent="0.35"/>
  <cols>
    <col min="1" max="1" width="18.36328125" customWidth="1"/>
    <col min="2" max="2" width="15.36328125" bestFit="1" customWidth="1"/>
    <col min="5" max="5" width="17.6328125" bestFit="1" customWidth="1"/>
    <col min="6" max="6" width="9.54296875" bestFit="1" customWidth="1"/>
    <col min="7" max="7" width="49.08984375" bestFit="1" customWidth="1"/>
    <col min="8" max="8" width="15.36328125" bestFit="1" customWidth="1"/>
    <col min="21" max="21" width="7.90625" customWidth="1"/>
  </cols>
  <sheetData>
    <row r="1" spans="1:8" ht="18.5" x14ac:dyDescent="0.45">
      <c r="A1" s="31" t="s">
        <v>226</v>
      </c>
    </row>
    <row r="2" spans="1:8" ht="18.5" x14ac:dyDescent="0.45">
      <c r="A2" s="32" t="s">
        <v>290</v>
      </c>
    </row>
    <row r="3" spans="1:8" ht="18.5" x14ac:dyDescent="0.45">
      <c r="A3" s="32" t="s">
        <v>291</v>
      </c>
    </row>
    <row r="8" spans="1:8" x14ac:dyDescent="0.35">
      <c r="A8" s="33" t="s">
        <v>165</v>
      </c>
      <c r="B8" s="34" t="s">
        <v>29</v>
      </c>
      <c r="E8" s="33" t="s">
        <v>165</v>
      </c>
      <c r="F8" s="33" t="s">
        <v>227</v>
      </c>
      <c r="G8" s="33" t="s">
        <v>228</v>
      </c>
      <c r="H8" s="34" t="s">
        <v>29</v>
      </c>
    </row>
    <row r="9" spans="1:8" x14ac:dyDescent="0.35">
      <c r="A9" s="35">
        <v>0</v>
      </c>
      <c r="B9" s="36">
        <f>H11</f>
        <v>7949946.8900000006</v>
      </c>
      <c r="E9" s="37">
        <v>0</v>
      </c>
      <c r="F9" s="38" t="s">
        <v>106</v>
      </c>
      <c r="G9" s="35" t="s">
        <v>229</v>
      </c>
      <c r="H9" s="36">
        <v>3291635.89</v>
      </c>
    </row>
    <row r="10" spans="1:8" x14ac:dyDescent="0.35">
      <c r="A10" s="35" t="s">
        <v>1</v>
      </c>
      <c r="B10" s="36">
        <f>H18</f>
        <v>1342014.94</v>
      </c>
      <c r="E10" s="39"/>
      <c r="F10" s="38" t="s">
        <v>57</v>
      </c>
      <c r="G10" s="35" t="s">
        <v>230</v>
      </c>
      <c r="H10" s="36">
        <v>4658311</v>
      </c>
    </row>
    <row r="11" spans="1:8" x14ac:dyDescent="0.35">
      <c r="A11" s="35" t="s">
        <v>87</v>
      </c>
      <c r="B11" s="36">
        <f>H32</f>
        <v>47883538.189999998</v>
      </c>
      <c r="E11" s="40" t="s">
        <v>231</v>
      </c>
      <c r="F11" s="40"/>
      <c r="G11" s="40"/>
      <c r="H11" s="41">
        <f>SUM(H9:H10)</f>
        <v>7949946.8900000006</v>
      </c>
    </row>
    <row r="12" spans="1:8" x14ac:dyDescent="0.35">
      <c r="A12" s="35" t="s">
        <v>56</v>
      </c>
      <c r="B12" s="36">
        <f>H58</f>
        <v>28541017.689999994</v>
      </c>
      <c r="E12" s="37" t="s">
        <v>1</v>
      </c>
      <c r="F12" s="38" t="s">
        <v>133</v>
      </c>
      <c r="G12" s="35" t="s">
        <v>232</v>
      </c>
      <c r="H12" s="36">
        <v>38291.89</v>
      </c>
    </row>
    <row r="13" spans="1:8" x14ac:dyDescent="0.35">
      <c r="A13" s="35" t="s">
        <v>82</v>
      </c>
      <c r="B13" s="36">
        <f>H66</f>
        <v>3730699.5900000003</v>
      </c>
      <c r="E13" s="42"/>
      <c r="F13" s="38" t="s">
        <v>81</v>
      </c>
      <c r="G13" s="35" t="s">
        <v>80</v>
      </c>
      <c r="H13" s="36">
        <v>0</v>
      </c>
    </row>
    <row r="14" spans="1:8" x14ac:dyDescent="0.35">
      <c r="A14" s="35" t="s">
        <v>233</v>
      </c>
      <c r="B14" s="36">
        <f>H72</f>
        <v>1519602.79</v>
      </c>
      <c r="E14" s="42"/>
      <c r="F14" s="38" t="s">
        <v>132</v>
      </c>
      <c r="G14" s="35" t="s">
        <v>234</v>
      </c>
      <c r="H14" s="36">
        <v>107217.3</v>
      </c>
    </row>
    <row r="15" spans="1:8" ht="15" thickBot="1" x14ac:dyDescent="0.4">
      <c r="A15" s="35" t="s">
        <v>3</v>
      </c>
      <c r="B15" s="36">
        <f>H86</f>
        <v>18990731.780000001</v>
      </c>
      <c r="E15" s="42"/>
      <c r="F15" s="38" t="s">
        <v>131</v>
      </c>
      <c r="G15" s="35" t="s">
        <v>235</v>
      </c>
      <c r="H15" s="36">
        <v>449864.03</v>
      </c>
    </row>
    <row r="16" spans="1:8" ht="15" thickTop="1" x14ac:dyDescent="0.35">
      <c r="A16" s="43" t="s">
        <v>236</v>
      </c>
      <c r="B16" s="44">
        <f>SUM(B9:B15)</f>
        <v>109957551.87</v>
      </c>
      <c r="E16" s="42"/>
      <c r="F16" s="38" t="s">
        <v>130</v>
      </c>
      <c r="G16" s="35" t="s">
        <v>237</v>
      </c>
      <c r="H16" s="36">
        <v>377281.02</v>
      </c>
    </row>
    <row r="17" spans="5:8" x14ac:dyDescent="0.35">
      <c r="E17" s="39"/>
      <c r="F17" s="38" t="s">
        <v>238</v>
      </c>
      <c r="G17" s="35" t="s">
        <v>239</v>
      </c>
      <c r="H17" s="36">
        <v>369360.7</v>
      </c>
    </row>
    <row r="18" spans="5:8" x14ac:dyDescent="0.35">
      <c r="E18" s="40" t="s">
        <v>240</v>
      </c>
      <c r="F18" s="40"/>
      <c r="G18" s="40"/>
      <c r="H18" s="41">
        <f>SUM(H12:H17)</f>
        <v>1342014.94</v>
      </c>
    </row>
    <row r="19" spans="5:8" x14ac:dyDescent="0.35">
      <c r="E19" s="37" t="s">
        <v>87</v>
      </c>
      <c r="F19" s="38" t="s">
        <v>148</v>
      </c>
      <c r="G19" s="35" t="s">
        <v>241</v>
      </c>
      <c r="H19" s="36">
        <v>0</v>
      </c>
    </row>
    <row r="20" spans="5:8" x14ac:dyDescent="0.35">
      <c r="E20" s="42"/>
      <c r="F20" s="38" t="s">
        <v>147</v>
      </c>
      <c r="G20" s="35" t="s">
        <v>242</v>
      </c>
      <c r="H20" s="36">
        <v>60708.54</v>
      </c>
    </row>
    <row r="21" spans="5:8" x14ac:dyDescent="0.35">
      <c r="E21" s="42"/>
      <c r="F21" s="38" t="s">
        <v>145</v>
      </c>
      <c r="G21" s="35" t="s">
        <v>243</v>
      </c>
      <c r="H21" s="36">
        <v>1528992.22</v>
      </c>
    </row>
    <row r="22" spans="5:8" x14ac:dyDescent="0.35">
      <c r="E22" s="42"/>
      <c r="F22" s="38" t="s">
        <v>143</v>
      </c>
      <c r="G22" s="35" t="s">
        <v>244</v>
      </c>
      <c r="H22" s="36">
        <v>14532192.83</v>
      </c>
    </row>
    <row r="23" spans="5:8" x14ac:dyDescent="0.35">
      <c r="E23" s="42"/>
      <c r="F23" s="38" t="s">
        <v>141</v>
      </c>
      <c r="G23" s="35" t="s">
        <v>245</v>
      </c>
      <c r="H23" s="36">
        <v>3117820.87</v>
      </c>
    </row>
    <row r="24" spans="5:8" x14ac:dyDescent="0.35">
      <c r="E24" s="42"/>
      <c r="F24" s="38" t="s">
        <v>140</v>
      </c>
      <c r="G24" s="35" t="s">
        <v>246</v>
      </c>
      <c r="H24" s="36">
        <v>12639754.49</v>
      </c>
    </row>
    <row r="25" spans="5:8" x14ac:dyDescent="0.35">
      <c r="E25" s="42"/>
      <c r="F25" s="38" t="s">
        <v>93</v>
      </c>
      <c r="G25" s="35" t="s">
        <v>92</v>
      </c>
      <c r="H25" s="36">
        <v>2982621.28</v>
      </c>
    </row>
    <row r="26" spans="5:8" x14ac:dyDescent="0.35">
      <c r="E26" s="42"/>
      <c r="F26" s="38" t="s">
        <v>139</v>
      </c>
      <c r="G26" s="35" t="s">
        <v>247</v>
      </c>
      <c r="H26" s="36">
        <v>278034.55</v>
      </c>
    </row>
    <row r="27" spans="5:8" x14ac:dyDescent="0.35">
      <c r="E27" s="42"/>
      <c r="F27" s="38" t="s">
        <v>91</v>
      </c>
      <c r="G27" s="35" t="s">
        <v>90</v>
      </c>
      <c r="H27" s="36">
        <v>9861940.5800000001</v>
      </c>
    </row>
    <row r="28" spans="5:8" x14ac:dyDescent="0.35">
      <c r="E28" s="42"/>
      <c r="F28" s="38" t="s">
        <v>99</v>
      </c>
      <c r="G28" s="35" t="s">
        <v>98</v>
      </c>
      <c r="H28" s="36">
        <v>376716.26</v>
      </c>
    </row>
    <row r="29" spans="5:8" x14ac:dyDescent="0.35">
      <c r="E29" s="42"/>
      <c r="F29" s="38" t="s">
        <v>89</v>
      </c>
      <c r="G29" s="35" t="s">
        <v>88</v>
      </c>
      <c r="H29" s="36">
        <v>375154.34</v>
      </c>
    </row>
    <row r="30" spans="5:8" x14ac:dyDescent="0.35">
      <c r="E30" s="42"/>
      <c r="F30" s="38" t="s">
        <v>248</v>
      </c>
      <c r="G30" s="35" t="s">
        <v>249</v>
      </c>
      <c r="H30" s="36">
        <v>546376.9</v>
      </c>
    </row>
    <row r="31" spans="5:8" x14ac:dyDescent="0.35">
      <c r="E31" s="39"/>
      <c r="F31" s="38" t="s">
        <v>250</v>
      </c>
      <c r="G31" s="35" t="s">
        <v>251</v>
      </c>
      <c r="H31" s="36">
        <v>1583225.33</v>
      </c>
    </row>
    <row r="32" spans="5:8" x14ac:dyDescent="0.35">
      <c r="E32" s="40" t="s">
        <v>149</v>
      </c>
      <c r="F32" s="40"/>
      <c r="G32" s="40"/>
      <c r="H32" s="41">
        <f>SUM(H19:H31)</f>
        <v>47883538.189999998</v>
      </c>
    </row>
    <row r="33" spans="5:8" x14ac:dyDescent="0.35">
      <c r="E33" s="37" t="s">
        <v>56</v>
      </c>
      <c r="F33" s="38" t="s">
        <v>129</v>
      </c>
      <c r="G33" s="35" t="s">
        <v>252</v>
      </c>
      <c r="H33" s="36">
        <v>99367.99</v>
      </c>
    </row>
    <row r="34" spans="5:8" x14ac:dyDescent="0.35">
      <c r="E34" s="42"/>
      <c r="F34" s="38" t="s">
        <v>128</v>
      </c>
      <c r="G34" s="35" t="s">
        <v>253</v>
      </c>
      <c r="H34" s="36">
        <v>0</v>
      </c>
    </row>
    <row r="35" spans="5:8" x14ac:dyDescent="0.35">
      <c r="E35" s="42"/>
      <c r="F35" s="38" t="s">
        <v>127</v>
      </c>
      <c r="G35" s="35" t="s">
        <v>254</v>
      </c>
      <c r="H35" s="36">
        <v>7888358.2800000003</v>
      </c>
    </row>
    <row r="36" spans="5:8" x14ac:dyDescent="0.35">
      <c r="E36" s="42"/>
      <c r="F36" s="38" t="s">
        <v>116</v>
      </c>
      <c r="G36" s="35" t="s">
        <v>115</v>
      </c>
      <c r="H36" s="36">
        <v>429646.63</v>
      </c>
    </row>
    <row r="37" spans="5:8" x14ac:dyDescent="0.35">
      <c r="E37" s="42"/>
      <c r="F37" s="38" t="s">
        <v>114</v>
      </c>
      <c r="G37" s="35" t="s">
        <v>113</v>
      </c>
      <c r="H37" s="36">
        <v>720697.59</v>
      </c>
    </row>
    <row r="38" spans="5:8" x14ac:dyDescent="0.35">
      <c r="E38" s="42"/>
      <c r="F38" s="38" t="s">
        <v>112</v>
      </c>
      <c r="G38" s="35" t="s">
        <v>111</v>
      </c>
      <c r="H38" s="36">
        <v>235612.67</v>
      </c>
    </row>
    <row r="39" spans="5:8" x14ac:dyDescent="0.35">
      <c r="E39" s="42"/>
      <c r="F39" s="38" t="s">
        <v>126</v>
      </c>
      <c r="G39" s="35" t="s">
        <v>125</v>
      </c>
      <c r="H39" s="36">
        <v>258551.54</v>
      </c>
    </row>
    <row r="40" spans="5:8" x14ac:dyDescent="0.35">
      <c r="E40" s="42"/>
      <c r="F40" s="38" t="s">
        <v>124</v>
      </c>
      <c r="G40" s="35" t="s">
        <v>123</v>
      </c>
      <c r="H40" s="36">
        <v>303517.02</v>
      </c>
    </row>
    <row r="41" spans="5:8" x14ac:dyDescent="0.35">
      <c r="E41" s="42"/>
      <c r="F41" s="38" t="s">
        <v>122</v>
      </c>
      <c r="G41" s="35" t="s">
        <v>121</v>
      </c>
      <c r="H41" s="36">
        <v>312262.92</v>
      </c>
    </row>
    <row r="42" spans="5:8" x14ac:dyDescent="0.35">
      <c r="E42" s="42"/>
      <c r="F42" s="38" t="s">
        <v>120</v>
      </c>
      <c r="G42" s="35" t="s">
        <v>119</v>
      </c>
      <c r="H42" s="36">
        <v>182153.37</v>
      </c>
    </row>
    <row r="43" spans="5:8" x14ac:dyDescent="0.35">
      <c r="E43" s="42"/>
      <c r="F43" s="38" t="s">
        <v>118</v>
      </c>
      <c r="G43" s="35" t="s">
        <v>117</v>
      </c>
      <c r="H43" s="36">
        <v>156131.45000000001</v>
      </c>
    </row>
    <row r="44" spans="5:8" x14ac:dyDescent="0.35">
      <c r="E44" s="42"/>
      <c r="F44" s="38" t="s">
        <v>110</v>
      </c>
      <c r="G44" s="35" t="s">
        <v>109</v>
      </c>
      <c r="H44" s="36">
        <v>4170801</v>
      </c>
    </row>
    <row r="45" spans="5:8" x14ac:dyDescent="0.35">
      <c r="E45" s="42"/>
      <c r="F45" s="38" t="s">
        <v>108</v>
      </c>
      <c r="G45" s="35" t="s">
        <v>107</v>
      </c>
      <c r="H45" s="36">
        <v>782979.13</v>
      </c>
    </row>
    <row r="46" spans="5:8" x14ac:dyDescent="0.35">
      <c r="E46" s="42"/>
      <c r="F46" s="38" t="s">
        <v>105</v>
      </c>
      <c r="G46" s="35" t="s">
        <v>104</v>
      </c>
      <c r="H46" s="36">
        <v>2415429</v>
      </c>
    </row>
    <row r="47" spans="5:8" x14ac:dyDescent="0.35">
      <c r="E47" s="42"/>
      <c r="F47" s="38" t="s">
        <v>77</v>
      </c>
      <c r="G47" s="35" t="s">
        <v>76</v>
      </c>
      <c r="H47" s="36">
        <v>2589309.7599999998</v>
      </c>
    </row>
    <row r="48" spans="5:8" x14ac:dyDescent="0.35">
      <c r="E48" s="42"/>
      <c r="F48" s="38" t="s">
        <v>101</v>
      </c>
      <c r="G48" s="35" t="s">
        <v>100</v>
      </c>
      <c r="H48" s="36">
        <v>455014.26</v>
      </c>
    </row>
    <row r="49" spans="5:8" x14ac:dyDescent="0.35">
      <c r="E49" s="39"/>
      <c r="F49" s="38" t="s">
        <v>301</v>
      </c>
      <c r="G49" s="88" t="s">
        <v>300</v>
      </c>
      <c r="H49" s="36">
        <v>0</v>
      </c>
    </row>
    <row r="50" spans="5:8" x14ac:dyDescent="0.35">
      <c r="E50" s="87"/>
      <c r="F50" s="38" t="s">
        <v>292</v>
      </c>
      <c r="G50" s="88" t="s">
        <v>65</v>
      </c>
      <c r="H50" s="89">
        <v>436404.78</v>
      </c>
    </row>
    <row r="51" spans="5:8" x14ac:dyDescent="0.35">
      <c r="E51" s="87"/>
      <c r="F51" s="38" t="s">
        <v>293</v>
      </c>
      <c r="G51" s="88" t="s">
        <v>64</v>
      </c>
      <c r="H51" s="89">
        <v>1784156.47</v>
      </c>
    </row>
    <row r="52" spans="5:8" x14ac:dyDescent="0.35">
      <c r="E52" s="87"/>
      <c r="F52" s="38" t="s">
        <v>294</v>
      </c>
      <c r="G52" s="88" t="s">
        <v>63</v>
      </c>
      <c r="H52" s="89">
        <v>1707956.74</v>
      </c>
    </row>
    <row r="53" spans="5:8" x14ac:dyDescent="0.35">
      <c r="E53" s="87"/>
      <c r="F53" s="38" t="s">
        <v>295</v>
      </c>
      <c r="G53" s="88" t="s">
        <v>62</v>
      </c>
      <c r="H53" s="89">
        <v>1150179.21</v>
      </c>
    </row>
    <row r="54" spans="5:8" x14ac:dyDescent="0.35">
      <c r="E54" s="87"/>
      <c r="F54" s="38" t="s">
        <v>296</v>
      </c>
      <c r="G54" s="88" t="s">
        <v>61</v>
      </c>
      <c r="H54" s="89">
        <v>827831.08</v>
      </c>
    </row>
    <row r="55" spans="5:8" x14ac:dyDescent="0.35">
      <c r="E55" s="87"/>
      <c r="F55" s="38" t="s">
        <v>297</v>
      </c>
      <c r="G55" s="88" t="s">
        <v>60</v>
      </c>
      <c r="H55" s="89">
        <v>1100640.28</v>
      </c>
    </row>
    <row r="56" spans="5:8" x14ac:dyDescent="0.35">
      <c r="E56" s="87"/>
      <c r="F56" s="38" t="s">
        <v>298</v>
      </c>
      <c r="G56" s="88" t="s">
        <v>59</v>
      </c>
      <c r="H56" s="89">
        <v>250873.13</v>
      </c>
    </row>
    <row r="57" spans="5:8" x14ac:dyDescent="0.35">
      <c r="E57" s="87"/>
      <c r="F57" s="38" t="s">
        <v>299</v>
      </c>
      <c r="G57" s="88" t="s">
        <v>58</v>
      </c>
      <c r="H57" s="89">
        <v>283143.39</v>
      </c>
    </row>
    <row r="58" spans="5:8" x14ac:dyDescent="0.35">
      <c r="E58" s="40" t="s">
        <v>255</v>
      </c>
      <c r="F58" s="40"/>
      <c r="G58" s="40"/>
      <c r="H58" s="41">
        <f>SUM(H33:H57)</f>
        <v>28541017.689999994</v>
      </c>
    </row>
    <row r="59" spans="5:8" x14ac:dyDescent="0.35">
      <c r="E59" s="37" t="s">
        <v>82</v>
      </c>
      <c r="F59" s="38" t="s">
        <v>138</v>
      </c>
      <c r="G59" s="35" t="s">
        <v>256</v>
      </c>
      <c r="H59" s="36">
        <v>1651531.06</v>
      </c>
    </row>
    <row r="60" spans="5:8" x14ac:dyDescent="0.35">
      <c r="E60" s="42"/>
      <c r="F60" s="38" t="s">
        <v>137</v>
      </c>
      <c r="G60" s="35" t="s">
        <v>257</v>
      </c>
      <c r="H60" s="36">
        <v>10819.43</v>
      </c>
    </row>
    <row r="61" spans="5:8" x14ac:dyDescent="0.35">
      <c r="E61" s="42"/>
      <c r="F61" s="38" t="s">
        <v>136</v>
      </c>
      <c r="G61" s="35" t="s">
        <v>258</v>
      </c>
      <c r="H61" s="36">
        <v>462784.69</v>
      </c>
    </row>
    <row r="62" spans="5:8" x14ac:dyDescent="0.35">
      <c r="E62" s="42"/>
      <c r="F62" s="38" t="s">
        <v>86</v>
      </c>
      <c r="G62" s="35" t="s">
        <v>85</v>
      </c>
      <c r="H62" s="36">
        <v>0</v>
      </c>
    </row>
    <row r="63" spans="5:8" x14ac:dyDescent="0.35">
      <c r="E63" s="42"/>
      <c r="F63" s="38" t="s">
        <v>135</v>
      </c>
      <c r="G63" s="35" t="s">
        <v>259</v>
      </c>
      <c r="H63" s="36">
        <v>732342.94</v>
      </c>
    </row>
    <row r="64" spans="5:8" x14ac:dyDescent="0.35">
      <c r="E64" s="42"/>
      <c r="F64" s="38" t="s">
        <v>134</v>
      </c>
      <c r="G64" s="35" t="s">
        <v>260</v>
      </c>
      <c r="H64" s="36">
        <v>662197.16</v>
      </c>
    </row>
    <row r="65" spans="5:8" x14ac:dyDescent="0.35">
      <c r="E65" s="39"/>
      <c r="F65" s="38" t="s">
        <v>84</v>
      </c>
      <c r="G65" s="35" t="s">
        <v>83</v>
      </c>
      <c r="H65" s="36">
        <v>211024.31</v>
      </c>
    </row>
    <row r="66" spans="5:8" x14ac:dyDescent="0.35">
      <c r="E66" s="40" t="s">
        <v>261</v>
      </c>
      <c r="F66" s="40"/>
      <c r="G66" s="40"/>
      <c r="H66" s="41">
        <f>SUM(H59:H65)</f>
        <v>3730699.5900000003</v>
      </c>
    </row>
    <row r="67" spans="5:8" x14ac:dyDescent="0.35">
      <c r="E67" s="37" t="s">
        <v>233</v>
      </c>
      <c r="F67" s="38" t="s">
        <v>75</v>
      </c>
      <c r="G67" s="35" t="s">
        <v>74</v>
      </c>
      <c r="H67" s="90">
        <v>102019.25</v>
      </c>
    </row>
    <row r="68" spans="5:8" x14ac:dyDescent="0.35">
      <c r="E68" s="42"/>
      <c r="F68" s="38" t="s">
        <v>73</v>
      </c>
      <c r="G68" s="35" t="s">
        <v>72</v>
      </c>
      <c r="H68" s="36">
        <v>206340.62</v>
      </c>
    </row>
    <row r="69" spans="5:8" x14ac:dyDescent="0.35">
      <c r="E69" s="42"/>
      <c r="F69" s="38" t="s">
        <v>71</v>
      </c>
      <c r="G69" s="35" t="s">
        <v>70</v>
      </c>
      <c r="H69" s="36">
        <v>415791.7</v>
      </c>
    </row>
    <row r="70" spans="5:8" x14ac:dyDescent="0.35">
      <c r="E70" s="42"/>
      <c r="F70" s="38" t="s">
        <v>69</v>
      </c>
      <c r="G70" s="35" t="s">
        <v>68</v>
      </c>
      <c r="H70" s="36">
        <v>130727.66</v>
      </c>
    </row>
    <row r="71" spans="5:8" x14ac:dyDescent="0.35">
      <c r="E71" s="42"/>
      <c r="F71" s="38" t="s">
        <v>67</v>
      </c>
      <c r="G71" s="35" t="s">
        <v>66</v>
      </c>
      <c r="H71" s="36">
        <v>664723.56000000006</v>
      </c>
    </row>
    <row r="72" spans="5:8" x14ac:dyDescent="0.35">
      <c r="E72" s="40" t="s">
        <v>262</v>
      </c>
      <c r="F72" s="40"/>
      <c r="G72" s="40"/>
      <c r="H72" s="41">
        <f>SUM(H67:H71)</f>
        <v>1519602.79</v>
      </c>
    </row>
    <row r="73" spans="5:8" x14ac:dyDescent="0.35">
      <c r="E73" s="37" t="s">
        <v>3</v>
      </c>
      <c r="F73" s="38" t="s">
        <v>161</v>
      </c>
      <c r="G73" s="35" t="s">
        <v>263</v>
      </c>
      <c r="H73" s="36">
        <v>329694.07</v>
      </c>
    </row>
    <row r="74" spans="5:8" x14ac:dyDescent="0.35">
      <c r="E74" s="42"/>
      <c r="F74" s="38" t="s">
        <v>160</v>
      </c>
      <c r="G74" s="35" t="s">
        <v>264</v>
      </c>
      <c r="H74" s="36">
        <v>1874592.93</v>
      </c>
    </row>
    <row r="75" spans="5:8" x14ac:dyDescent="0.35">
      <c r="E75" s="42"/>
      <c r="F75" s="38" t="s">
        <v>159</v>
      </c>
      <c r="G75" s="35" t="s">
        <v>265</v>
      </c>
      <c r="H75" s="36">
        <v>3574048.94</v>
      </c>
    </row>
    <row r="76" spans="5:8" x14ac:dyDescent="0.35">
      <c r="E76" s="42"/>
      <c r="F76" s="38" t="s">
        <v>158</v>
      </c>
      <c r="G76" s="35" t="s">
        <v>157</v>
      </c>
      <c r="H76" s="36">
        <v>1926245.81</v>
      </c>
    </row>
    <row r="77" spans="5:8" x14ac:dyDescent="0.35">
      <c r="E77" s="42"/>
      <c r="F77" s="38" t="s">
        <v>154</v>
      </c>
      <c r="G77" s="35" t="s">
        <v>266</v>
      </c>
      <c r="H77" s="36">
        <v>1579721.84</v>
      </c>
    </row>
    <row r="78" spans="5:8" x14ac:dyDescent="0.35">
      <c r="E78" s="42"/>
      <c r="F78" s="38" t="s">
        <v>97</v>
      </c>
      <c r="G78" s="35" t="s">
        <v>96</v>
      </c>
      <c r="H78" s="36">
        <v>193588.59</v>
      </c>
    </row>
    <row r="79" spans="5:8" x14ac:dyDescent="0.35">
      <c r="E79" s="42"/>
      <c r="F79" s="38" t="s">
        <v>95</v>
      </c>
      <c r="G79" s="35" t="s">
        <v>94</v>
      </c>
      <c r="H79" s="36">
        <v>1719903.63</v>
      </c>
    </row>
    <row r="80" spans="5:8" x14ac:dyDescent="0.35">
      <c r="E80" s="42"/>
      <c r="F80" s="38" t="s">
        <v>152</v>
      </c>
      <c r="G80" s="35" t="s">
        <v>267</v>
      </c>
      <c r="H80" s="36">
        <v>1588716.64</v>
      </c>
    </row>
    <row r="81" spans="5:8" x14ac:dyDescent="0.35">
      <c r="E81" s="42"/>
      <c r="F81" s="38" t="s">
        <v>103</v>
      </c>
      <c r="G81" s="35" t="s">
        <v>102</v>
      </c>
      <c r="H81" s="36">
        <v>4701080.6500000004</v>
      </c>
    </row>
    <row r="82" spans="5:8" x14ac:dyDescent="0.35">
      <c r="E82" s="42"/>
      <c r="F82" s="38" t="s">
        <v>79</v>
      </c>
      <c r="G82" s="35" t="s">
        <v>78</v>
      </c>
      <c r="H82" s="36">
        <v>921621.73</v>
      </c>
    </row>
    <row r="83" spans="5:8" x14ac:dyDescent="0.35">
      <c r="E83" s="42"/>
      <c r="F83" s="38" t="s">
        <v>151</v>
      </c>
      <c r="G83" s="35" t="s">
        <v>268</v>
      </c>
      <c r="H83" s="36">
        <v>227774.99</v>
      </c>
    </row>
    <row r="84" spans="5:8" x14ac:dyDescent="0.35">
      <c r="E84" s="42"/>
      <c r="F84" s="38" t="s">
        <v>150</v>
      </c>
      <c r="G84" s="35" t="s">
        <v>269</v>
      </c>
      <c r="H84" s="36">
        <v>353741.96</v>
      </c>
    </row>
    <row r="85" spans="5:8" x14ac:dyDescent="0.35">
      <c r="E85" s="39"/>
      <c r="F85" s="38" t="s">
        <v>270</v>
      </c>
      <c r="G85" s="35" t="s">
        <v>271</v>
      </c>
      <c r="H85" s="36">
        <v>0</v>
      </c>
    </row>
    <row r="86" spans="5:8" ht="15" thickBot="1" x14ac:dyDescent="0.4">
      <c r="E86" s="40" t="s">
        <v>272</v>
      </c>
      <c r="F86" s="40"/>
      <c r="G86" s="40"/>
      <c r="H86" s="41">
        <f>SUM(H73:H85)</f>
        <v>18990731.780000001</v>
      </c>
    </row>
    <row r="87" spans="5:8" ht="15" thickTop="1" x14ac:dyDescent="0.35">
      <c r="E87" s="43" t="s">
        <v>236</v>
      </c>
      <c r="F87" s="43"/>
      <c r="G87" s="43"/>
      <c r="H87" s="44">
        <f>SUM(H86,H72,H66,H58,H32,H18,H11)</f>
        <v>109957551.86999999</v>
      </c>
    </row>
    <row r="88" spans="5:8" x14ac:dyDescent="0.35">
      <c r="E88" s="85"/>
      <c r="F88" s="85"/>
      <c r="G88" s="85"/>
      <c r="H88" s="86"/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6"/>
  <dimension ref="A1:I31"/>
  <sheetViews>
    <sheetView workbookViewId="0">
      <selection activeCell="G22" sqref="G22"/>
    </sheetView>
  </sheetViews>
  <sheetFormatPr defaultColWidth="8.90625" defaultRowHeight="14.5" x14ac:dyDescent="0.35"/>
  <cols>
    <col min="1" max="1" width="11.6328125" style="52" bestFit="1" customWidth="1"/>
    <col min="2" max="2" width="20.54296875" style="52" bestFit="1" customWidth="1"/>
    <col min="3" max="3" width="37.08984375" style="52" bestFit="1" customWidth="1"/>
    <col min="4" max="4" width="26.54296875" style="52" customWidth="1"/>
    <col min="5" max="5" width="14.6328125" style="52" customWidth="1"/>
    <col min="6" max="6" width="18.453125" style="52" customWidth="1"/>
    <col min="7" max="7" width="14.08984375" style="52" bestFit="1" customWidth="1"/>
    <col min="8" max="9" width="13.54296875" style="52" bestFit="1" customWidth="1"/>
    <col min="10" max="16384" width="8.90625" style="52"/>
  </cols>
  <sheetData>
    <row r="1" spans="1:8" x14ac:dyDescent="0.35">
      <c r="A1" s="190" t="s">
        <v>302</v>
      </c>
      <c r="B1" s="190"/>
      <c r="C1" s="190"/>
      <c r="D1" s="190"/>
      <c r="E1" s="190"/>
      <c r="F1" s="190"/>
      <c r="G1" s="190"/>
      <c r="H1" s="190"/>
    </row>
    <row r="2" spans="1:8" x14ac:dyDescent="0.35">
      <c r="A2" s="190" t="str">
        <f>Description!A2</f>
        <v>TEST YEAR 2019 GENERAL RATE CASE PHASE 2, APPLICATION 19-03-002</v>
      </c>
      <c r="B2" s="190"/>
      <c r="C2" s="190"/>
      <c r="D2" s="190"/>
      <c r="E2" s="190"/>
      <c r="F2" s="190"/>
      <c r="G2" s="190"/>
      <c r="H2" s="190"/>
    </row>
    <row r="3" spans="1:8" x14ac:dyDescent="0.35">
      <c r="A3" s="190" t="s">
        <v>304</v>
      </c>
      <c r="B3" s="190"/>
      <c r="C3" s="190"/>
      <c r="D3" s="190"/>
      <c r="E3" s="190"/>
      <c r="F3" s="190"/>
      <c r="G3" s="190"/>
      <c r="H3" s="190"/>
    </row>
    <row r="6" spans="1:8" x14ac:dyDescent="0.35">
      <c r="B6" s="4"/>
      <c r="C6" s="8" t="s">
        <v>164</v>
      </c>
      <c r="D6" s="8" t="s">
        <v>275</v>
      </c>
      <c r="E6" s="8" t="s">
        <v>163</v>
      </c>
      <c r="F6" s="8" t="s">
        <v>274</v>
      </c>
      <c r="G6" s="8" t="s">
        <v>162</v>
      </c>
    </row>
    <row r="7" spans="1:8" x14ac:dyDescent="0.35">
      <c r="B7" s="5"/>
      <c r="C7" s="5"/>
      <c r="D7" s="5"/>
      <c r="E7" s="5"/>
      <c r="F7" s="5"/>
      <c r="G7" s="4"/>
    </row>
    <row r="8" spans="1:8" x14ac:dyDescent="0.35">
      <c r="B8" s="9" t="s">
        <v>45</v>
      </c>
      <c r="C8" s="6">
        <f>SUM('EE Calculation NEW'!H73:H85)</f>
        <v>18990731.780000001</v>
      </c>
      <c r="D8" s="51">
        <f>C8/$C$13</f>
        <v>0.25849481349986364</v>
      </c>
      <c r="E8" s="6">
        <f>C8+D8*$C$16</f>
        <v>26368436.824872859</v>
      </c>
      <c r="F8" s="6">
        <f>E8+D8*$C$28</f>
        <v>28423456.86353723</v>
      </c>
      <c r="G8" s="51">
        <f>F8/$C$15</f>
        <v>0.25849481349986364</v>
      </c>
    </row>
    <row r="9" spans="1:8" x14ac:dyDescent="0.35">
      <c r="B9" s="9" t="s">
        <v>144</v>
      </c>
      <c r="C9" s="6">
        <f>(C22*C19)</f>
        <v>11384661.155647855</v>
      </c>
      <c r="D9" s="51">
        <f>C9/$C$13</f>
        <v>0.15496379477528138</v>
      </c>
      <c r="E9" s="6">
        <f>C9+D9*$C$16</f>
        <v>15807485.563638691</v>
      </c>
      <c r="F9" s="6">
        <f t="shared" ref="F9:F12" si="0">E9+D9*$C$28</f>
        <v>17039439.501975037</v>
      </c>
      <c r="G9" s="51">
        <f t="shared" ref="G9:G12" si="1">F9/$C$15</f>
        <v>0.15496379477528138</v>
      </c>
    </row>
    <row r="10" spans="1:8" x14ac:dyDescent="0.35">
      <c r="B10" s="9" t="s">
        <v>142</v>
      </c>
      <c r="C10" s="6">
        <f>(C23*C19)</f>
        <v>41747896.785718739</v>
      </c>
      <c r="D10" s="51">
        <f>C10/$C$13</f>
        <v>0.5682569223057039</v>
      </c>
      <c r="E10" s="6">
        <f t="shared" ref="E10:E11" si="2">C10+D10*$C$16</f>
        <v>57966527.657710791</v>
      </c>
      <c r="F10" s="6">
        <f t="shared" si="0"/>
        <v>62484140.009915993</v>
      </c>
      <c r="G10" s="51">
        <f t="shared" si="1"/>
        <v>0.5682569223057039</v>
      </c>
    </row>
    <row r="11" spans="1:8" x14ac:dyDescent="0.35">
      <c r="B11" s="9" t="s">
        <v>156</v>
      </c>
      <c r="C11" s="6">
        <f>SUM('EE Calculation NEW'!H12:H17)</f>
        <v>1342014.94</v>
      </c>
      <c r="D11" s="51">
        <f>C11/$C$13</f>
        <v>1.8267010752827908E-2</v>
      </c>
      <c r="E11" s="6">
        <f t="shared" si="2"/>
        <v>1863374.0170398813</v>
      </c>
      <c r="F11" s="6">
        <f t="shared" si="0"/>
        <v>2008595.7823639221</v>
      </c>
      <c r="G11" s="51">
        <f t="shared" si="1"/>
        <v>1.8267010752827908E-2</v>
      </c>
    </row>
    <row r="12" spans="1:8" x14ac:dyDescent="0.35">
      <c r="B12" s="9" t="s">
        <v>155</v>
      </c>
      <c r="C12" s="6">
        <f>C31</f>
        <v>1282.628633395057</v>
      </c>
      <c r="D12" s="51">
        <f>(C12)/$C$13</f>
        <v>1.7458666323127873E-5</v>
      </c>
      <c r="E12" s="6">
        <f>C12+D12*$C$16</f>
        <v>1780.9167377672568</v>
      </c>
      <c r="F12" s="6">
        <f t="shared" si="0"/>
        <v>1919.7122078063549</v>
      </c>
      <c r="G12" s="51">
        <f t="shared" si="1"/>
        <v>1.745866632312787E-5</v>
      </c>
    </row>
    <row r="13" spans="1:8" x14ac:dyDescent="0.35">
      <c r="B13" s="9" t="s">
        <v>153</v>
      </c>
      <c r="C13" s="6">
        <f>C14-C16</f>
        <v>73466587.289999992</v>
      </c>
      <c r="D13" s="47"/>
      <c r="E13" s="48"/>
      <c r="F13" s="49"/>
      <c r="G13" s="47"/>
    </row>
    <row r="14" spans="1:8" x14ac:dyDescent="0.35">
      <c r="B14" s="9" t="s">
        <v>276</v>
      </c>
      <c r="C14" s="6">
        <f>SUM(C8:C12,C16)</f>
        <v>102007604.97999999</v>
      </c>
      <c r="D14" s="46"/>
      <c r="E14" s="50"/>
      <c r="F14" s="50"/>
      <c r="G14" s="47"/>
    </row>
    <row r="15" spans="1:8" x14ac:dyDescent="0.35">
      <c r="B15" s="9" t="s">
        <v>29</v>
      </c>
      <c r="C15" s="6">
        <f>SUM(F8:F12)</f>
        <v>109957551.86999999</v>
      </c>
      <c r="D15" s="6"/>
      <c r="E15" s="6"/>
      <c r="F15" s="6"/>
      <c r="G15" s="170"/>
    </row>
    <row r="16" spans="1:8" x14ac:dyDescent="0.35">
      <c r="B16" s="9" t="s">
        <v>56</v>
      </c>
      <c r="C16" s="6">
        <f>SUM('EE Calculation NEW'!H33:H57)</f>
        <v>28541017.689999994</v>
      </c>
      <c r="D16" s="6"/>
      <c r="E16" s="6"/>
      <c r="F16" s="6"/>
      <c r="G16" s="48"/>
    </row>
    <row r="17" spans="1:9" x14ac:dyDescent="0.35">
      <c r="B17" s="171"/>
      <c r="C17" s="170"/>
      <c r="D17" s="170"/>
      <c r="E17" s="170"/>
      <c r="F17" s="170"/>
      <c r="G17" s="170"/>
      <c r="H17" s="172"/>
    </row>
    <row r="18" spans="1:9" x14ac:dyDescent="0.35">
      <c r="B18" s="171"/>
      <c r="C18" s="170"/>
      <c r="D18" s="170"/>
      <c r="E18" s="170"/>
      <c r="F18" s="170"/>
      <c r="G18" s="170"/>
    </row>
    <row r="19" spans="1:9" x14ac:dyDescent="0.35">
      <c r="B19" s="9" t="s">
        <v>149</v>
      </c>
      <c r="C19" s="173">
        <f>SUM('EE Calculation NEW'!H59:H65,'EE Calculation NEW'!H19:H31,'EE Calculation NEW'!H67:H71)-C31</f>
        <v>53132557.941366598</v>
      </c>
      <c r="D19" s="174"/>
      <c r="E19" s="170"/>
      <c r="F19" s="170"/>
      <c r="G19" s="170"/>
      <c r="H19" s="175"/>
      <c r="I19" s="175"/>
    </row>
    <row r="20" spans="1:9" x14ac:dyDescent="0.35">
      <c r="B20" s="83"/>
      <c r="C20" s="84"/>
      <c r="D20" s="170"/>
      <c r="E20" s="170"/>
      <c r="F20" s="170"/>
      <c r="G20" s="170"/>
      <c r="I20" s="176"/>
    </row>
    <row r="21" spans="1:9" x14ac:dyDescent="0.35">
      <c r="B21" s="171"/>
      <c r="C21" s="49" t="s">
        <v>146</v>
      </c>
      <c r="D21" s="170"/>
      <c r="E21" s="170"/>
      <c r="F21" s="170"/>
      <c r="G21" s="170"/>
    </row>
    <row r="22" spans="1:9" x14ac:dyDescent="0.35">
      <c r="B22" s="9" t="s">
        <v>144</v>
      </c>
      <c r="C22" s="177">
        <v>0.2142690206673501</v>
      </c>
      <c r="D22" s="170"/>
      <c r="E22" s="170"/>
      <c r="F22" s="170"/>
      <c r="G22" s="170"/>
    </row>
    <row r="23" spans="1:9" x14ac:dyDescent="0.35">
      <c r="B23" s="9" t="s">
        <v>142</v>
      </c>
      <c r="C23" s="177">
        <v>0.7857309793326499</v>
      </c>
      <c r="D23" s="170"/>
      <c r="E23" s="170"/>
      <c r="F23" s="170"/>
      <c r="G23" s="170"/>
    </row>
    <row r="24" spans="1:9" x14ac:dyDescent="0.35">
      <c r="C24" s="178"/>
      <c r="D24" s="178"/>
      <c r="E24" s="178"/>
      <c r="F24" s="178"/>
      <c r="G24" s="178"/>
    </row>
    <row r="25" spans="1:9" x14ac:dyDescent="0.35">
      <c r="C25" s="178"/>
      <c r="D25" s="178"/>
      <c r="E25" s="178"/>
      <c r="F25" s="178"/>
      <c r="G25" s="50"/>
      <c r="H25" s="175"/>
    </row>
    <row r="26" spans="1:9" x14ac:dyDescent="0.35">
      <c r="B26" s="52" t="s">
        <v>273</v>
      </c>
      <c r="C26" s="178">
        <f>'EE Calculation NEW'!H9</f>
        <v>3291635.89</v>
      </c>
      <c r="D26" s="178"/>
      <c r="E26" s="178"/>
      <c r="F26" s="178"/>
      <c r="G26" s="50"/>
      <c r="H26" s="175"/>
    </row>
    <row r="27" spans="1:9" x14ac:dyDescent="0.35">
      <c r="B27" s="52" t="s">
        <v>55</v>
      </c>
      <c r="C27" s="178">
        <f>'EE Calculation NEW'!H10</f>
        <v>4658311</v>
      </c>
      <c r="D27" s="178"/>
      <c r="E27" s="178"/>
      <c r="F27" s="178"/>
      <c r="G27" s="50"/>
      <c r="H27" s="175"/>
    </row>
    <row r="28" spans="1:9" x14ac:dyDescent="0.35">
      <c r="B28" s="52" t="s">
        <v>29</v>
      </c>
      <c r="C28" s="178">
        <f>SUM(C26:C27)</f>
        <v>7949946.8900000006</v>
      </c>
      <c r="D28" s="178"/>
      <c r="E28" s="178"/>
      <c r="F28" s="178"/>
      <c r="G28" s="50"/>
      <c r="H28" s="175"/>
    </row>
    <row r="29" spans="1:9" x14ac:dyDescent="0.35">
      <c r="C29" s="175"/>
      <c r="G29" s="45"/>
      <c r="H29" s="175"/>
    </row>
    <row r="30" spans="1:9" x14ac:dyDescent="0.35">
      <c r="C30" s="7" t="s">
        <v>277</v>
      </c>
    </row>
    <row r="31" spans="1:9" x14ac:dyDescent="0.35">
      <c r="A31" s="179" t="s">
        <v>233</v>
      </c>
      <c r="B31" s="66">
        <f>SUM('EE Calculation NEW'!H67:H71)</f>
        <v>1519602.79</v>
      </c>
      <c r="C31" s="66">
        <v>1282.628633395057</v>
      </c>
      <c r="D31" s="175"/>
    </row>
  </sheetData>
  <mergeCells count="3">
    <mergeCell ref="A1:H1"/>
    <mergeCell ref="A2:H2"/>
    <mergeCell ref="A3:H3"/>
  </mergeCells>
  <pageMargins left="0.7" right="0.7" top="0.75" bottom="0.75" header="0.3" footer="0.3"/>
  <pageSetup orientation="portrait" r:id="rId1"/>
  <headerFooter>
    <oddFooter>&amp;L&amp;F
&amp;A&amp;R&amp;P of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14C216-FEDB-4D89-B25B-5586CDBB0553}">
  <sheetPr codeName="Sheet1"/>
  <dimension ref="A1:H284"/>
  <sheetViews>
    <sheetView zoomScale="85" zoomScaleNormal="85" workbookViewId="0">
      <selection activeCell="G22" sqref="G22"/>
    </sheetView>
  </sheetViews>
  <sheetFormatPr defaultColWidth="8.6328125" defaultRowHeight="14.5" x14ac:dyDescent="0.35"/>
  <cols>
    <col min="1" max="1" width="13.453125" style="23" bestFit="1" customWidth="1"/>
    <col min="2" max="2" width="14" style="23" bestFit="1" customWidth="1"/>
    <col min="3" max="5" width="8.81640625" style="23"/>
    <col min="6" max="6" width="11.36328125" style="23" customWidth="1"/>
    <col min="7" max="7" width="14.81640625" style="23" customWidth="1"/>
    <col min="8" max="8" width="8.81640625" style="23"/>
    <col min="9" max="9" width="58.36328125" style="23" customWidth="1"/>
    <col min="10" max="16384" width="8.6328125" style="23"/>
  </cols>
  <sheetData>
    <row r="1" spans="1:8" x14ac:dyDescent="0.35">
      <c r="A1" s="180" t="s">
        <v>305</v>
      </c>
      <c r="B1" s="180" t="s">
        <v>306</v>
      </c>
    </row>
    <row r="2" spans="1:8" x14ac:dyDescent="0.35">
      <c r="A2" s="23" t="s">
        <v>218</v>
      </c>
      <c r="B2" s="24">
        <v>12000</v>
      </c>
      <c r="D2" s="22"/>
      <c r="F2" s="25"/>
    </row>
    <row r="3" spans="1:8" x14ac:dyDescent="0.35">
      <c r="A3" s="23" t="s">
        <v>213</v>
      </c>
      <c r="B3" s="24">
        <v>12000</v>
      </c>
      <c r="D3" s="22"/>
    </row>
    <row r="4" spans="1:8" x14ac:dyDescent="0.35">
      <c r="A4" s="23" t="s">
        <v>213</v>
      </c>
      <c r="B4" s="24">
        <v>12000</v>
      </c>
      <c r="D4" s="22"/>
    </row>
    <row r="5" spans="1:8" x14ac:dyDescent="0.35">
      <c r="A5" s="23" t="s">
        <v>213</v>
      </c>
      <c r="B5" s="24">
        <v>12000</v>
      </c>
      <c r="D5" s="22"/>
    </row>
    <row r="6" spans="1:8" x14ac:dyDescent="0.35">
      <c r="A6" s="23" t="s">
        <v>218</v>
      </c>
      <c r="B6" s="24">
        <v>12000</v>
      </c>
      <c r="D6" s="22"/>
      <c r="F6" s="25"/>
      <c r="H6" s="181"/>
    </row>
    <row r="7" spans="1:8" x14ac:dyDescent="0.35">
      <c r="A7" s="23" t="s">
        <v>216</v>
      </c>
      <c r="B7" s="24">
        <v>12000</v>
      </c>
      <c r="D7" s="22"/>
      <c r="F7" s="25"/>
      <c r="G7" s="28"/>
      <c r="H7" s="181"/>
    </row>
    <row r="8" spans="1:8" x14ac:dyDescent="0.35">
      <c r="A8" s="23" t="s">
        <v>218</v>
      </c>
      <c r="B8" s="24">
        <v>12000</v>
      </c>
      <c r="D8" s="22"/>
      <c r="F8" s="25"/>
      <c r="G8" s="28"/>
      <c r="H8" s="181"/>
    </row>
    <row r="9" spans="1:8" x14ac:dyDescent="0.35">
      <c r="A9" s="23" t="s">
        <v>218</v>
      </c>
      <c r="B9" s="24">
        <v>12000</v>
      </c>
      <c r="D9" s="22"/>
      <c r="F9" s="26"/>
      <c r="G9" s="28"/>
      <c r="H9" s="181"/>
    </row>
    <row r="10" spans="1:8" x14ac:dyDescent="0.35">
      <c r="A10" s="23" t="s">
        <v>213</v>
      </c>
      <c r="B10" s="24">
        <v>12000</v>
      </c>
      <c r="D10" s="22"/>
      <c r="F10" s="25"/>
    </row>
    <row r="11" spans="1:8" x14ac:dyDescent="0.35">
      <c r="A11" s="23" t="s">
        <v>213</v>
      </c>
      <c r="B11" s="24">
        <v>12000</v>
      </c>
      <c r="D11" s="22"/>
    </row>
    <row r="12" spans="1:8" x14ac:dyDescent="0.35">
      <c r="A12" s="23" t="s">
        <v>213</v>
      </c>
      <c r="B12" s="24">
        <v>12000</v>
      </c>
      <c r="D12" s="22"/>
    </row>
    <row r="13" spans="1:8" x14ac:dyDescent="0.35">
      <c r="A13" s="23" t="s">
        <v>215</v>
      </c>
      <c r="B13" s="24">
        <v>33904.800000000003</v>
      </c>
      <c r="D13" s="22"/>
    </row>
    <row r="14" spans="1:8" x14ac:dyDescent="0.35">
      <c r="A14" s="23" t="s">
        <v>215</v>
      </c>
      <c r="B14" s="24">
        <v>33607.199999999997</v>
      </c>
      <c r="D14" s="22"/>
    </row>
    <row r="15" spans="1:8" x14ac:dyDescent="0.35">
      <c r="A15" s="23" t="s">
        <v>214</v>
      </c>
      <c r="B15" s="24">
        <v>67212</v>
      </c>
      <c r="D15" s="22"/>
    </row>
    <row r="16" spans="1:8" x14ac:dyDescent="0.35">
      <c r="A16" s="23" t="s">
        <v>218</v>
      </c>
      <c r="B16" s="24">
        <v>10800</v>
      </c>
      <c r="D16" s="22"/>
    </row>
    <row r="17" spans="1:8" x14ac:dyDescent="0.35">
      <c r="A17" s="23" t="s">
        <v>217</v>
      </c>
      <c r="B17" s="24">
        <v>10800</v>
      </c>
      <c r="D17" s="22"/>
    </row>
    <row r="18" spans="1:8" x14ac:dyDescent="0.35">
      <c r="A18" s="23" t="s">
        <v>213</v>
      </c>
      <c r="B18" s="24">
        <v>10800</v>
      </c>
      <c r="D18" s="22"/>
      <c r="F18" s="25" t="s">
        <v>3</v>
      </c>
      <c r="G18" s="30">
        <f>SUM(B2,B3:B5,B6:B7,B8,B9:B10,B11:B12,B16:B24,B27:B28,B29:B30,B31,B34,B36:B37,$B$38:$B$41,B42:B43,B44,B45:B46,B50:B54,B55:B56,B59:B60,B62,B67:B69,B74,B75,B77:B78,B80,B83,B107,B111)</f>
        <v>600393.41999999993</v>
      </c>
      <c r="H18" s="181">
        <f>G18/G23</f>
        <v>8.4156525586731964E-2</v>
      </c>
    </row>
    <row r="19" spans="1:8" x14ac:dyDescent="0.35">
      <c r="A19" s="23" t="s">
        <v>217</v>
      </c>
      <c r="B19" s="24">
        <v>10800</v>
      </c>
      <c r="D19" s="22"/>
      <c r="F19" s="25" t="s">
        <v>222</v>
      </c>
      <c r="G19" s="30">
        <v>0</v>
      </c>
      <c r="H19" s="181">
        <f>G19/G23</f>
        <v>0</v>
      </c>
    </row>
    <row r="20" spans="1:8" x14ac:dyDescent="0.35">
      <c r="A20" s="23" t="s">
        <v>213</v>
      </c>
      <c r="B20" s="24">
        <v>10800</v>
      </c>
      <c r="D20" s="22"/>
      <c r="F20" s="25" t="s">
        <v>44</v>
      </c>
      <c r="G20" s="30">
        <f>SUM(B13:B15,B25:B26,B32:B33,B35,B47:B49,B57:B58,B61,B63,B64:B66,B70,B71:B73,B76,B79,B81:B82,B84:B85,B86,B87:B89,B90:B91,B92,B93,B94:B95,B96,B97,B98:B100,B101:B104,B105,B106,B109:B110,B112,B113:B116,B117:B122)</f>
        <v>6257793.3400000036</v>
      </c>
      <c r="H20" s="181">
        <f>G20/G23</f>
        <v>0.87714842933187254</v>
      </c>
    </row>
    <row r="21" spans="1:8" x14ac:dyDescent="0.35">
      <c r="A21" s="23" t="s">
        <v>219</v>
      </c>
      <c r="B21" s="24">
        <v>10800</v>
      </c>
      <c r="D21" s="22"/>
      <c r="F21" s="26" t="s">
        <v>8</v>
      </c>
      <c r="G21" s="30">
        <f>SUM(B108)</f>
        <v>276060</v>
      </c>
      <c r="H21" s="181">
        <f>G21/G23</f>
        <v>3.8695045081395513E-2</v>
      </c>
    </row>
    <row r="22" spans="1:8" x14ac:dyDescent="0.35">
      <c r="A22" s="23" t="s">
        <v>217</v>
      </c>
      <c r="B22" s="24">
        <v>10800</v>
      </c>
      <c r="D22" s="22"/>
      <c r="F22" s="25" t="s">
        <v>43</v>
      </c>
      <c r="G22" s="23">
        <v>0</v>
      </c>
      <c r="H22" s="181">
        <f>G22/G23</f>
        <v>0</v>
      </c>
    </row>
    <row r="23" spans="1:8" x14ac:dyDescent="0.35">
      <c r="A23" s="23" t="s">
        <v>213</v>
      </c>
      <c r="B23" s="24">
        <v>10800</v>
      </c>
      <c r="D23" s="22"/>
      <c r="F23" s="27" t="s">
        <v>29</v>
      </c>
      <c r="G23" s="30">
        <f>G18+G20+G21</f>
        <v>7134246.7600000035</v>
      </c>
      <c r="H23" s="29">
        <f>SUM(H18:H22)</f>
        <v>1</v>
      </c>
    </row>
    <row r="24" spans="1:8" x14ac:dyDescent="0.35">
      <c r="A24" s="23" t="s">
        <v>213</v>
      </c>
      <c r="B24" s="24">
        <v>10800</v>
      </c>
      <c r="D24" s="22"/>
    </row>
    <row r="25" spans="1:8" x14ac:dyDescent="0.35">
      <c r="A25" s="23" t="s">
        <v>215</v>
      </c>
      <c r="B25" s="24">
        <v>32400</v>
      </c>
      <c r="D25" s="22"/>
    </row>
    <row r="26" spans="1:8" x14ac:dyDescent="0.35">
      <c r="A26" s="23" t="s">
        <v>214</v>
      </c>
      <c r="B26" s="24">
        <v>32400</v>
      </c>
      <c r="D26" s="22"/>
    </row>
    <row r="27" spans="1:8" x14ac:dyDescent="0.35">
      <c r="A27" s="23" t="s">
        <v>213</v>
      </c>
      <c r="B27" s="24">
        <v>10800</v>
      </c>
      <c r="D27" s="22"/>
    </row>
    <row r="28" spans="1:8" x14ac:dyDescent="0.35">
      <c r="A28" s="23" t="s">
        <v>213</v>
      </c>
      <c r="B28" s="24">
        <v>10800</v>
      </c>
      <c r="D28" s="22"/>
    </row>
    <row r="29" spans="1:8" x14ac:dyDescent="0.35">
      <c r="A29" s="23" t="s">
        <v>213</v>
      </c>
      <c r="B29" s="24">
        <v>10800</v>
      </c>
      <c r="D29" s="22"/>
    </row>
    <row r="30" spans="1:8" x14ac:dyDescent="0.35">
      <c r="A30" s="23" t="s">
        <v>213</v>
      </c>
      <c r="B30" s="24">
        <v>10800</v>
      </c>
      <c r="D30" s="22"/>
    </row>
    <row r="31" spans="1:8" x14ac:dyDescent="0.35">
      <c r="A31" s="23" t="s">
        <v>213</v>
      </c>
      <c r="B31" s="24">
        <v>10800</v>
      </c>
      <c r="D31" s="22"/>
    </row>
    <row r="32" spans="1:8" x14ac:dyDescent="0.35">
      <c r="A32" s="23" t="s">
        <v>214</v>
      </c>
      <c r="B32" s="24">
        <v>370139.09</v>
      </c>
      <c r="D32" s="22"/>
    </row>
    <row r="33" spans="1:4" x14ac:dyDescent="0.35">
      <c r="A33" s="23" t="s">
        <v>215</v>
      </c>
      <c r="B33" s="24">
        <v>41491.440000000002</v>
      </c>
      <c r="D33" s="22"/>
    </row>
    <row r="34" spans="1:4" x14ac:dyDescent="0.35">
      <c r="A34" s="23" t="s">
        <v>213</v>
      </c>
      <c r="B34" s="24">
        <v>10800</v>
      </c>
      <c r="D34" s="22"/>
    </row>
    <row r="35" spans="1:4" x14ac:dyDescent="0.35">
      <c r="A35" s="23" t="s">
        <v>215</v>
      </c>
      <c r="B35" s="24">
        <v>504000</v>
      </c>
      <c r="D35" s="22"/>
    </row>
    <row r="36" spans="1:4" x14ac:dyDescent="0.35">
      <c r="A36" s="23" t="s">
        <v>213</v>
      </c>
      <c r="B36" s="24">
        <v>9720</v>
      </c>
      <c r="D36" s="22"/>
    </row>
    <row r="37" spans="1:4" x14ac:dyDescent="0.35">
      <c r="A37" s="23" t="s">
        <v>213</v>
      </c>
      <c r="B37" s="24">
        <v>9720</v>
      </c>
      <c r="D37" s="22"/>
    </row>
    <row r="38" spans="1:4" x14ac:dyDescent="0.35">
      <c r="A38" s="23" t="s">
        <v>213</v>
      </c>
      <c r="B38" s="24">
        <v>9720</v>
      </c>
      <c r="D38" s="22"/>
    </row>
    <row r="39" spans="1:4" x14ac:dyDescent="0.35">
      <c r="A39" s="23" t="s">
        <v>213</v>
      </c>
      <c r="B39" s="24">
        <v>9720</v>
      </c>
      <c r="D39" s="22"/>
    </row>
    <row r="40" spans="1:4" x14ac:dyDescent="0.35">
      <c r="A40" s="23" t="s">
        <v>213</v>
      </c>
      <c r="B40" s="24">
        <v>9720</v>
      </c>
      <c r="D40" s="22"/>
    </row>
    <row r="41" spans="1:4" x14ac:dyDescent="0.35">
      <c r="A41" s="23" t="s">
        <v>213</v>
      </c>
      <c r="B41" s="24">
        <v>9720</v>
      </c>
      <c r="D41" s="22"/>
    </row>
    <row r="42" spans="1:4" x14ac:dyDescent="0.35">
      <c r="A42" s="23" t="s">
        <v>213</v>
      </c>
      <c r="B42" s="24">
        <v>9720</v>
      </c>
      <c r="D42" s="22"/>
    </row>
    <row r="43" spans="1:4" x14ac:dyDescent="0.35">
      <c r="A43" s="23" t="s">
        <v>213</v>
      </c>
      <c r="B43" s="24">
        <v>9720</v>
      </c>
      <c r="D43" s="22"/>
    </row>
    <row r="44" spans="1:4" x14ac:dyDescent="0.35">
      <c r="A44" s="23" t="s">
        <v>213</v>
      </c>
      <c r="B44" s="24">
        <v>9720</v>
      </c>
      <c r="D44" s="22"/>
    </row>
    <row r="45" spans="1:4" x14ac:dyDescent="0.35">
      <c r="A45" s="23" t="s">
        <v>213</v>
      </c>
      <c r="B45" s="24">
        <v>9720</v>
      </c>
      <c r="D45" s="22"/>
    </row>
    <row r="46" spans="1:4" x14ac:dyDescent="0.35">
      <c r="A46" s="23" t="s">
        <v>213</v>
      </c>
      <c r="B46" s="24">
        <v>9720</v>
      </c>
      <c r="D46" s="22"/>
    </row>
    <row r="47" spans="1:4" x14ac:dyDescent="0.35">
      <c r="A47" s="23" t="s">
        <v>214</v>
      </c>
      <c r="B47" s="24">
        <v>54443.66</v>
      </c>
      <c r="D47" s="22"/>
    </row>
    <row r="48" spans="1:4" x14ac:dyDescent="0.35">
      <c r="A48" s="23" t="s">
        <v>214</v>
      </c>
      <c r="B48" s="24">
        <v>27221.83</v>
      </c>
      <c r="D48" s="22"/>
    </row>
    <row r="49" spans="1:4" x14ac:dyDescent="0.35">
      <c r="A49" s="23" t="s">
        <v>214</v>
      </c>
      <c r="B49" s="24">
        <v>27221.83</v>
      </c>
      <c r="D49" s="22"/>
    </row>
    <row r="50" spans="1:4" x14ac:dyDescent="0.35">
      <c r="A50" s="23" t="s">
        <v>213</v>
      </c>
      <c r="B50" s="24">
        <v>9720</v>
      </c>
      <c r="D50" s="22"/>
    </row>
    <row r="51" spans="1:4" x14ac:dyDescent="0.35">
      <c r="A51" s="23" t="s">
        <v>213</v>
      </c>
      <c r="B51" s="24">
        <v>9720</v>
      </c>
      <c r="D51" s="22"/>
    </row>
    <row r="52" spans="1:4" x14ac:dyDescent="0.35">
      <c r="A52" s="23" t="s">
        <v>213</v>
      </c>
      <c r="B52" s="24">
        <v>9720</v>
      </c>
      <c r="D52" s="22"/>
    </row>
    <row r="53" spans="1:4" x14ac:dyDescent="0.35">
      <c r="A53" s="23" t="s">
        <v>213</v>
      </c>
      <c r="B53" s="24">
        <v>9720</v>
      </c>
      <c r="D53" s="22"/>
    </row>
    <row r="54" spans="1:4" x14ac:dyDescent="0.35">
      <c r="A54" s="23" t="s">
        <v>213</v>
      </c>
      <c r="B54" s="24">
        <v>9720</v>
      </c>
      <c r="D54" s="22"/>
    </row>
    <row r="55" spans="1:4" x14ac:dyDescent="0.35">
      <c r="A55" s="23" t="s">
        <v>213</v>
      </c>
      <c r="B55" s="24">
        <v>9720</v>
      </c>
      <c r="D55" s="22"/>
    </row>
    <row r="56" spans="1:4" x14ac:dyDescent="0.35">
      <c r="A56" s="23" t="s">
        <v>213</v>
      </c>
      <c r="B56" s="24">
        <v>9720</v>
      </c>
      <c r="D56" s="22"/>
    </row>
    <row r="57" spans="1:4" x14ac:dyDescent="0.35">
      <c r="A57" s="23" t="s">
        <v>215</v>
      </c>
      <c r="B57" s="24">
        <v>27221.83</v>
      </c>
      <c r="D57" s="22"/>
    </row>
    <row r="58" spans="1:4" x14ac:dyDescent="0.35">
      <c r="A58" s="23" t="s">
        <v>215</v>
      </c>
      <c r="B58" s="24">
        <v>54511.7</v>
      </c>
      <c r="D58" s="22"/>
    </row>
    <row r="59" spans="1:4" x14ac:dyDescent="0.35">
      <c r="A59" s="23" t="s">
        <v>213</v>
      </c>
      <c r="B59" s="24">
        <v>9720</v>
      </c>
      <c r="D59" s="22"/>
    </row>
    <row r="60" spans="1:4" x14ac:dyDescent="0.35">
      <c r="A60" s="23" t="s">
        <v>213</v>
      </c>
      <c r="B60" s="24">
        <v>9720</v>
      </c>
      <c r="D60" s="22"/>
    </row>
    <row r="61" spans="1:4" x14ac:dyDescent="0.35">
      <c r="A61" s="23" t="s">
        <v>214</v>
      </c>
      <c r="B61" s="24">
        <v>54927.72</v>
      </c>
      <c r="D61" s="22"/>
    </row>
    <row r="62" spans="1:4" x14ac:dyDescent="0.35">
      <c r="A62" s="23" t="s">
        <v>213</v>
      </c>
      <c r="B62" s="24">
        <v>9720</v>
      </c>
      <c r="D62" s="22"/>
    </row>
    <row r="63" spans="1:4" x14ac:dyDescent="0.35">
      <c r="A63" s="23" t="s">
        <v>215</v>
      </c>
      <c r="B63" s="24">
        <v>54927.72</v>
      </c>
      <c r="D63" s="22"/>
    </row>
    <row r="64" spans="1:4" x14ac:dyDescent="0.35">
      <c r="A64" s="23" t="s">
        <v>214</v>
      </c>
      <c r="B64" s="24">
        <v>27462.89</v>
      </c>
      <c r="D64" s="22"/>
    </row>
    <row r="65" spans="1:4" x14ac:dyDescent="0.35">
      <c r="A65" s="23" t="s">
        <v>214</v>
      </c>
      <c r="B65" s="24">
        <v>38335.68</v>
      </c>
      <c r="D65" s="22"/>
    </row>
    <row r="66" spans="1:4" x14ac:dyDescent="0.35">
      <c r="A66" s="23" t="s">
        <v>215</v>
      </c>
      <c r="B66" s="24">
        <v>58314.17</v>
      </c>
      <c r="D66" s="22"/>
    </row>
    <row r="67" spans="1:4" x14ac:dyDescent="0.35">
      <c r="A67" s="23" t="s">
        <v>213</v>
      </c>
      <c r="B67" s="24">
        <v>9720</v>
      </c>
      <c r="D67" s="22"/>
    </row>
    <row r="68" spans="1:4" x14ac:dyDescent="0.35">
      <c r="A68" s="23" t="s">
        <v>213</v>
      </c>
      <c r="B68" s="24">
        <v>9720</v>
      </c>
      <c r="D68" s="22"/>
    </row>
    <row r="69" spans="1:4" x14ac:dyDescent="0.35">
      <c r="A69" s="23" t="s">
        <v>213</v>
      </c>
      <c r="B69" s="24">
        <v>9720</v>
      </c>
      <c r="D69" s="22"/>
    </row>
    <row r="70" spans="1:4" x14ac:dyDescent="0.35">
      <c r="A70" s="23" t="s">
        <v>214</v>
      </c>
      <c r="B70" s="24">
        <v>240000</v>
      </c>
      <c r="D70" s="22"/>
    </row>
    <row r="71" spans="1:4" x14ac:dyDescent="0.35">
      <c r="A71" s="23" t="s">
        <v>215</v>
      </c>
      <c r="B71" s="24">
        <v>54442.27</v>
      </c>
      <c r="D71" s="22"/>
    </row>
    <row r="72" spans="1:4" x14ac:dyDescent="0.35">
      <c r="A72" s="23" t="s">
        <v>214</v>
      </c>
      <c r="B72" s="24">
        <v>38880</v>
      </c>
      <c r="D72" s="22"/>
    </row>
    <row r="73" spans="1:4" x14ac:dyDescent="0.35">
      <c r="A73" s="23" t="s">
        <v>215</v>
      </c>
      <c r="B73" s="24">
        <v>27221.83</v>
      </c>
      <c r="D73" s="22"/>
    </row>
    <row r="74" spans="1:4" x14ac:dyDescent="0.35">
      <c r="A74" s="23" t="s">
        <v>219</v>
      </c>
      <c r="B74" s="24">
        <v>9720</v>
      </c>
      <c r="D74" s="22"/>
    </row>
    <row r="75" spans="1:4" x14ac:dyDescent="0.35">
      <c r="A75" s="23" t="s">
        <v>213</v>
      </c>
      <c r="B75" s="24">
        <v>9720</v>
      </c>
      <c r="D75" s="22"/>
    </row>
    <row r="76" spans="1:4" x14ac:dyDescent="0.35">
      <c r="A76" s="23" t="s">
        <v>215</v>
      </c>
      <c r="B76" s="24">
        <v>27221.83</v>
      </c>
      <c r="D76" s="22"/>
    </row>
    <row r="77" spans="1:4" x14ac:dyDescent="0.35">
      <c r="A77" s="23" t="s">
        <v>213</v>
      </c>
      <c r="B77" s="24">
        <v>9720</v>
      </c>
      <c r="D77" s="22"/>
    </row>
    <row r="78" spans="1:4" x14ac:dyDescent="0.35">
      <c r="A78" s="23" t="s">
        <v>213</v>
      </c>
      <c r="B78" s="24">
        <v>9720</v>
      </c>
      <c r="D78" s="22"/>
    </row>
    <row r="79" spans="1:4" x14ac:dyDescent="0.35">
      <c r="A79" s="23" t="s">
        <v>215</v>
      </c>
      <c r="B79" s="24">
        <v>54443.66</v>
      </c>
      <c r="D79" s="22"/>
    </row>
    <row r="80" spans="1:4" x14ac:dyDescent="0.35">
      <c r="A80" s="23" t="s">
        <v>221</v>
      </c>
      <c r="B80" s="24">
        <v>9278.7099999999991</v>
      </c>
      <c r="D80" s="22"/>
    </row>
    <row r="81" spans="1:4" x14ac:dyDescent="0.35">
      <c r="A81" s="23" t="s">
        <v>214</v>
      </c>
      <c r="B81" s="24">
        <v>54443.66</v>
      </c>
      <c r="D81" s="22"/>
    </row>
    <row r="82" spans="1:4" x14ac:dyDescent="0.35">
      <c r="A82" s="23" t="s">
        <v>214</v>
      </c>
      <c r="B82" s="24">
        <v>27221.83</v>
      </c>
      <c r="D82" s="22"/>
    </row>
    <row r="83" spans="1:4" x14ac:dyDescent="0.35">
      <c r="A83" s="23" t="s">
        <v>213</v>
      </c>
      <c r="B83" s="24">
        <v>9720</v>
      </c>
      <c r="D83" s="22"/>
    </row>
    <row r="84" spans="1:4" x14ac:dyDescent="0.35">
      <c r="A84" s="23" t="s">
        <v>215</v>
      </c>
      <c r="B84" s="24">
        <v>41941.14</v>
      </c>
      <c r="D84" s="22"/>
    </row>
    <row r="85" spans="1:4" x14ac:dyDescent="0.35">
      <c r="A85" s="23" t="s">
        <v>215</v>
      </c>
      <c r="B85" s="24">
        <v>54443.66</v>
      </c>
      <c r="D85" s="22"/>
    </row>
    <row r="86" spans="1:4" x14ac:dyDescent="0.35">
      <c r="A86" s="23" t="s">
        <v>215</v>
      </c>
      <c r="B86" s="24">
        <v>27221.83</v>
      </c>
      <c r="D86" s="22"/>
    </row>
    <row r="87" spans="1:4" x14ac:dyDescent="0.35">
      <c r="A87" s="23" t="s">
        <v>215</v>
      </c>
      <c r="B87" s="24">
        <v>230580</v>
      </c>
      <c r="D87" s="22"/>
    </row>
    <row r="88" spans="1:4" x14ac:dyDescent="0.35">
      <c r="A88" s="23" t="s">
        <v>215</v>
      </c>
      <c r="B88" s="24">
        <v>282654.57</v>
      </c>
      <c r="D88" s="22"/>
    </row>
    <row r="89" spans="1:4" x14ac:dyDescent="0.35">
      <c r="A89" s="23" t="s">
        <v>215</v>
      </c>
      <c r="B89" s="24">
        <v>284064.15000000002</v>
      </c>
      <c r="D89" s="22"/>
    </row>
    <row r="90" spans="1:4" x14ac:dyDescent="0.35">
      <c r="A90" s="23" t="s">
        <v>214</v>
      </c>
      <c r="B90" s="24">
        <v>54441.72</v>
      </c>
      <c r="D90" s="22"/>
    </row>
    <row r="91" spans="1:4" x14ac:dyDescent="0.35">
      <c r="A91" s="23" t="s">
        <v>215</v>
      </c>
      <c r="B91" s="24">
        <v>29130.84</v>
      </c>
      <c r="D91" s="22"/>
    </row>
    <row r="92" spans="1:4" x14ac:dyDescent="0.35">
      <c r="A92" s="23" t="s">
        <v>214</v>
      </c>
      <c r="B92" s="24">
        <v>29130.84</v>
      </c>
      <c r="D92" s="22"/>
    </row>
    <row r="93" spans="1:4" x14ac:dyDescent="0.35">
      <c r="A93" s="23" t="s">
        <v>215</v>
      </c>
      <c r="B93" s="24">
        <v>52560</v>
      </c>
      <c r="D93" s="22"/>
    </row>
    <row r="94" spans="1:4" x14ac:dyDescent="0.35">
      <c r="A94" s="23" t="s">
        <v>215</v>
      </c>
      <c r="B94" s="24">
        <v>219000</v>
      </c>
      <c r="D94" s="22"/>
    </row>
    <row r="95" spans="1:4" x14ac:dyDescent="0.35">
      <c r="A95" s="23" t="s">
        <v>215</v>
      </c>
      <c r="B95" s="24">
        <v>219000</v>
      </c>
      <c r="D95" s="22"/>
    </row>
    <row r="96" spans="1:4" x14ac:dyDescent="0.35">
      <c r="A96" s="23" t="s">
        <v>215</v>
      </c>
      <c r="B96" s="24">
        <v>219000</v>
      </c>
      <c r="D96" s="22"/>
    </row>
    <row r="97" spans="1:4" x14ac:dyDescent="0.35">
      <c r="A97" s="23" t="s">
        <v>215</v>
      </c>
      <c r="B97" s="24">
        <v>219000</v>
      </c>
      <c r="D97" s="22"/>
    </row>
    <row r="98" spans="1:4" x14ac:dyDescent="0.35">
      <c r="A98" s="23" t="s">
        <v>215</v>
      </c>
      <c r="B98" s="24">
        <v>219000</v>
      </c>
      <c r="D98" s="22"/>
    </row>
    <row r="99" spans="1:4" x14ac:dyDescent="0.35">
      <c r="A99" s="23" t="s">
        <v>215</v>
      </c>
      <c r="B99" s="24">
        <v>219000</v>
      </c>
      <c r="D99" s="22"/>
    </row>
    <row r="100" spans="1:4" x14ac:dyDescent="0.35">
      <c r="A100" s="23" t="s">
        <v>215</v>
      </c>
      <c r="B100" s="24">
        <v>219000</v>
      </c>
      <c r="D100" s="22"/>
    </row>
    <row r="101" spans="1:4" x14ac:dyDescent="0.35">
      <c r="A101" s="23" t="s">
        <v>214</v>
      </c>
      <c r="B101" s="24">
        <v>52560</v>
      </c>
      <c r="D101" s="22"/>
    </row>
    <row r="102" spans="1:4" x14ac:dyDescent="0.35">
      <c r="A102" s="23" t="s">
        <v>214</v>
      </c>
      <c r="B102" s="24">
        <v>105120</v>
      </c>
      <c r="D102" s="22"/>
    </row>
    <row r="103" spans="1:4" x14ac:dyDescent="0.35">
      <c r="A103" s="23" t="s">
        <v>214</v>
      </c>
      <c r="B103" s="24">
        <v>105120</v>
      </c>
      <c r="D103" s="22"/>
    </row>
    <row r="104" spans="1:4" x14ac:dyDescent="0.35">
      <c r="A104" s="23" t="s">
        <v>214</v>
      </c>
      <c r="B104" s="24">
        <v>52542.48</v>
      </c>
      <c r="D104" s="22"/>
    </row>
    <row r="105" spans="1:4" x14ac:dyDescent="0.35">
      <c r="A105" s="23" t="s">
        <v>214</v>
      </c>
      <c r="B105" s="24">
        <v>52542.48</v>
      </c>
      <c r="D105" s="22"/>
    </row>
    <row r="106" spans="1:4" x14ac:dyDescent="0.35">
      <c r="A106" s="23" t="s">
        <v>214</v>
      </c>
      <c r="B106" s="24">
        <v>52542.48</v>
      </c>
      <c r="D106" s="22"/>
    </row>
    <row r="107" spans="1:4" x14ac:dyDescent="0.35">
      <c r="A107" s="23" t="s">
        <v>213</v>
      </c>
      <c r="B107" s="24">
        <v>8760</v>
      </c>
      <c r="D107" s="22"/>
    </row>
    <row r="108" spans="1:4" x14ac:dyDescent="0.35">
      <c r="A108" s="23" t="s">
        <v>220</v>
      </c>
      <c r="B108" s="24">
        <v>276060</v>
      </c>
      <c r="D108" s="22"/>
    </row>
    <row r="109" spans="1:4" x14ac:dyDescent="0.35">
      <c r="A109" s="23" t="s">
        <v>214</v>
      </c>
      <c r="B109" s="24">
        <v>52542.48</v>
      </c>
      <c r="D109" s="22"/>
    </row>
    <row r="110" spans="1:4" x14ac:dyDescent="0.35">
      <c r="A110" s="23" t="s">
        <v>215</v>
      </c>
      <c r="B110" s="24">
        <v>660000</v>
      </c>
      <c r="D110" s="22"/>
    </row>
    <row r="111" spans="1:4" x14ac:dyDescent="0.35">
      <c r="A111" s="23" t="s">
        <v>213</v>
      </c>
      <c r="B111" s="24">
        <v>6474.71</v>
      </c>
      <c r="D111" s="22"/>
    </row>
    <row r="112" spans="1:4" x14ac:dyDescent="0.35">
      <c r="A112" s="23" t="s">
        <v>214</v>
      </c>
      <c r="B112" s="24">
        <v>49066.51</v>
      </c>
      <c r="D112" s="22"/>
    </row>
    <row r="113" spans="1:4" x14ac:dyDescent="0.35">
      <c r="A113" s="23" t="s">
        <v>215</v>
      </c>
      <c r="B113" s="24">
        <v>26253.72</v>
      </c>
      <c r="D113" s="22"/>
    </row>
    <row r="114" spans="1:4" x14ac:dyDescent="0.35">
      <c r="A114" s="23" t="s">
        <v>215</v>
      </c>
      <c r="B114" s="24">
        <v>52507.44</v>
      </c>
      <c r="D114" s="22"/>
    </row>
    <row r="115" spans="1:4" x14ac:dyDescent="0.35">
      <c r="A115" s="23" t="s">
        <v>215</v>
      </c>
      <c r="B115" s="24">
        <v>52507.44</v>
      </c>
      <c r="D115" s="22"/>
    </row>
    <row r="116" spans="1:4" x14ac:dyDescent="0.35">
      <c r="A116" s="23" t="s">
        <v>215</v>
      </c>
      <c r="B116" s="24">
        <v>26262.48</v>
      </c>
      <c r="D116" s="22"/>
    </row>
    <row r="117" spans="1:4" x14ac:dyDescent="0.35">
      <c r="A117" s="23" t="s">
        <v>214</v>
      </c>
      <c r="B117" s="24">
        <v>23564.28</v>
      </c>
      <c r="D117" s="22"/>
    </row>
    <row r="118" spans="1:4" x14ac:dyDescent="0.35">
      <c r="A118" s="23" t="s">
        <v>215</v>
      </c>
      <c r="B118" s="24">
        <v>23564.28</v>
      </c>
      <c r="D118" s="22"/>
    </row>
    <row r="119" spans="1:4" x14ac:dyDescent="0.35">
      <c r="A119" s="23" t="s">
        <v>215</v>
      </c>
      <c r="B119" s="24">
        <v>23564.28</v>
      </c>
      <c r="D119" s="22"/>
    </row>
    <row r="120" spans="1:4" x14ac:dyDescent="0.35">
      <c r="A120" s="23" t="s">
        <v>214</v>
      </c>
      <c r="B120" s="24">
        <v>23564.28</v>
      </c>
      <c r="D120" s="22"/>
    </row>
    <row r="121" spans="1:4" x14ac:dyDescent="0.35">
      <c r="A121" s="23" t="s">
        <v>215</v>
      </c>
      <c r="B121" s="24">
        <v>70488.479999999996</v>
      </c>
      <c r="D121" s="22"/>
    </row>
    <row r="122" spans="1:4" x14ac:dyDescent="0.35">
      <c r="A122" s="23" t="s">
        <v>214</v>
      </c>
      <c r="B122" s="24">
        <v>70692.84</v>
      </c>
      <c r="D122" s="22"/>
    </row>
    <row r="123" spans="1:4" x14ac:dyDescent="0.35">
      <c r="B123" s="24"/>
      <c r="D123" s="22"/>
    </row>
    <row r="124" spans="1:4" x14ac:dyDescent="0.35">
      <c r="B124" s="24"/>
      <c r="D124" s="22"/>
    </row>
    <row r="125" spans="1:4" x14ac:dyDescent="0.35">
      <c r="B125" s="24"/>
      <c r="D125" s="22"/>
    </row>
    <row r="126" spans="1:4" x14ac:dyDescent="0.35">
      <c r="B126" s="24"/>
      <c r="D126" s="22"/>
    </row>
    <row r="127" spans="1:4" x14ac:dyDescent="0.35">
      <c r="B127" s="24"/>
      <c r="D127" s="22"/>
    </row>
    <row r="128" spans="1:4" x14ac:dyDescent="0.35">
      <c r="B128" s="24"/>
    </row>
    <row r="129" spans="2:2" x14ac:dyDescent="0.35">
      <c r="B129" s="24"/>
    </row>
    <row r="130" spans="2:2" x14ac:dyDescent="0.35">
      <c r="B130" s="24"/>
    </row>
    <row r="131" spans="2:2" x14ac:dyDescent="0.35">
      <c r="B131" s="24"/>
    </row>
    <row r="132" spans="2:2" x14ac:dyDescent="0.35">
      <c r="B132" s="24"/>
    </row>
    <row r="133" spans="2:2" x14ac:dyDescent="0.35">
      <c r="B133" s="24"/>
    </row>
    <row r="134" spans="2:2" x14ac:dyDescent="0.35">
      <c r="B134" s="24"/>
    </row>
    <row r="135" spans="2:2" x14ac:dyDescent="0.35">
      <c r="B135" s="24"/>
    </row>
    <row r="136" spans="2:2" x14ac:dyDescent="0.35">
      <c r="B136" s="24"/>
    </row>
    <row r="137" spans="2:2" x14ac:dyDescent="0.35">
      <c r="B137" s="24"/>
    </row>
    <row r="138" spans="2:2" x14ac:dyDescent="0.35">
      <c r="B138" s="24"/>
    </row>
    <row r="139" spans="2:2" x14ac:dyDescent="0.35">
      <c r="B139" s="24"/>
    </row>
    <row r="140" spans="2:2" x14ac:dyDescent="0.35">
      <c r="B140" s="24"/>
    </row>
    <row r="141" spans="2:2" x14ac:dyDescent="0.35">
      <c r="B141" s="24"/>
    </row>
    <row r="142" spans="2:2" x14ac:dyDescent="0.35">
      <c r="B142" s="24"/>
    </row>
    <row r="143" spans="2:2" x14ac:dyDescent="0.35">
      <c r="B143" s="24"/>
    </row>
    <row r="144" spans="2:2" x14ac:dyDescent="0.35">
      <c r="B144" s="24"/>
    </row>
    <row r="145" spans="2:2" x14ac:dyDescent="0.35">
      <c r="B145" s="24"/>
    </row>
    <row r="146" spans="2:2" x14ac:dyDescent="0.35">
      <c r="B146" s="24"/>
    </row>
    <row r="147" spans="2:2" x14ac:dyDescent="0.35">
      <c r="B147" s="24"/>
    </row>
    <row r="148" spans="2:2" x14ac:dyDescent="0.35">
      <c r="B148" s="24"/>
    </row>
    <row r="149" spans="2:2" x14ac:dyDescent="0.35">
      <c r="B149" s="24"/>
    </row>
    <row r="150" spans="2:2" x14ac:dyDescent="0.35">
      <c r="B150" s="24"/>
    </row>
    <row r="151" spans="2:2" x14ac:dyDescent="0.35">
      <c r="B151" s="24"/>
    </row>
    <row r="152" spans="2:2" x14ac:dyDescent="0.35">
      <c r="B152" s="24"/>
    </row>
    <row r="153" spans="2:2" x14ac:dyDescent="0.35">
      <c r="B153" s="24"/>
    </row>
    <row r="154" spans="2:2" x14ac:dyDescent="0.35">
      <c r="B154" s="24"/>
    </row>
    <row r="155" spans="2:2" x14ac:dyDescent="0.35">
      <c r="B155" s="24"/>
    </row>
    <row r="156" spans="2:2" x14ac:dyDescent="0.35">
      <c r="B156" s="24"/>
    </row>
    <row r="157" spans="2:2" x14ac:dyDescent="0.35">
      <c r="B157" s="24"/>
    </row>
    <row r="158" spans="2:2" x14ac:dyDescent="0.35">
      <c r="B158" s="24"/>
    </row>
    <row r="159" spans="2:2" x14ac:dyDescent="0.35">
      <c r="B159" s="24"/>
    </row>
    <row r="160" spans="2:2" x14ac:dyDescent="0.35">
      <c r="B160" s="24"/>
    </row>
    <row r="161" spans="2:2" x14ac:dyDescent="0.35">
      <c r="B161" s="24"/>
    </row>
    <row r="162" spans="2:2" x14ac:dyDescent="0.35">
      <c r="B162" s="24"/>
    </row>
    <row r="163" spans="2:2" x14ac:dyDescent="0.35">
      <c r="B163" s="24"/>
    </row>
    <row r="164" spans="2:2" x14ac:dyDescent="0.35">
      <c r="B164" s="24"/>
    </row>
    <row r="165" spans="2:2" x14ac:dyDescent="0.35">
      <c r="B165" s="24"/>
    </row>
    <row r="166" spans="2:2" x14ac:dyDescent="0.35">
      <c r="B166" s="24"/>
    </row>
    <row r="167" spans="2:2" x14ac:dyDescent="0.35">
      <c r="B167" s="24"/>
    </row>
    <row r="168" spans="2:2" x14ac:dyDescent="0.35">
      <c r="B168" s="24"/>
    </row>
    <row r="169" spans="2:2" x14ac:dyDescent="0.35">
      <c r="B169" s="24"/>
    </row>
    <row r="170" spans="2:2" x14ac:dyDescent="0.35">
      <c r="B170" s="24"/>
    </row>
    <row r="171" spans="2:2" x14ac:dyDescent="0.35">
      <c r="B171" s="24"/>
    </row>
    <row r="172" spans="2:2" x14ac:dyDescent="0.35">
      <c r="B172" s="24"/>
    </row>
    <row r="173" spans="2:2" x14ac:dyDescent="0.35">
      <c r="B173" s="24"/>
    </row>
    <row r="174" spans="2:2" x14ac:dyDescent="0.35">
      <c r="B174" s="24"/>
    </row>
    <row r="175" spans="2:2" x14ac:dyDescent="0.35">
      <c r="B175" s="24"/>
    </row>
    <row r="176" spans="2:2" x14ac:dyDescent="0.35">
      <c r="B176" s="24"/>
    </row>
    <row r="177" spans="2:2" x14ac:dyDescent="0.35">
      <c r="B177" s="24"/>
    </row>
    <row r="178" spans="2:2" x14ac:dyDescent="0.35">
      <c r="B178" s="24"/>
    </row>
    <row r="179" spans="2:2" x14ac:dyDescent="0.35">
      <c r="B179" s="24"/>
    </row>
    <row r="180" spans="2:2" x14ac:dyDescent="0.35">
      <c r="B180" s="24"/>
    </row>
    <row r="181" spans="2:2" x14ac:dyDescent="0.35">
      <c r="B181" s="24"/>
    </row>
    <row r="182" spans="2:2" x14ac:dyDescent="0.35">
      <c r="B182" s="24"/>
    </row>
    <row r="183" spans="2:2" x14ac:dyDescent="0.35">
      <c r="B183" s="24"/>
    </row>
    <row r="184" spans="2:2" x14ac:dyDescent="0.35">
      <c r="B184" s="24"/>
    </row>
    <row r="185" spans="2:2" x14ac:dyDescent="0.35">
      <c r="B185" s="24"/>
    </row>
    <row r="186" spans="2:2" x14ac:dyDescent="0.35">
      <c r="B186" s="24"/>
    </row>
    <row r="187" spans="2:2" x14ac:dyDescent="0.35">
      <c r="B187" s="24"/>
    </row>
    <row r="188" spans="2:2" x14ac:dyDescent="0.35">
      <c r="B188" s="24"/>
    </row>
    <row r="189" spans="2:2" x14ac:dyDescent="0.35">
      <c r="B189" s="24"/>
    </row>
    <row r="190" spans="2:2" x14ac:dyDescent="0.35">
      <c r="B190" s="24"/>
    </row>
    <row r="191" spans="2:2" x14ac:dyDescent="0.35">
      <c r="B191" s="24"/>
    </row>
    <row r="192" spans="2:2" x14ac:dyDescent="0.35">
      <c r="B192" s="24"/>
    </row>
    <row r="193" spans="2:2" x14ac:dyDescent="0.35">
      <c r="B193" s="24"/>
    </row>
    <row r="194" spans="2:2" x14ac:dyDescent="0.35">
      <c r="B194" s="24"/>
    </row>
    <row r="195" spans="2:2" x14ac:dyDescent="0.35">
      <c r="B195" s="24"/>
    </row>
    <row r="196" spans="2:2" x14ac:dyDescent="0.35">
      <c r="B196" s="24"/>
    </row>
    <row r="197" spans="2:2" x14ac:dyDescent="0.35">
      <c r="B197" s="24"/>
    </row>
    <row r="198" spans="2:2" x14ac:dyDescent="0.35">
      <c r="B198" s="24"/>
    </row>
    <row r="199" spans="2:2" x14ac:dyDescent="0.35">
      <c r="B199" s="24"/>
    </row>
    <row r="200" spans="2:2" x14ac:dyDescent="0.35">
      <c r="B200" s="24"/>
    </row>
    <row r="201" spans="2:2" x14ac:dyDescent="0.35">
      <c r="B201" s="24"/>
    </row>
    <row r="202" spans="2:2" x14ac:dyDescent="0.35">
      <c r="B202" s="24"/>
    </row>
    <row r="203" spans="2:2" x14ac:dyDescent="0.35">
      <c r="B203" s="24"/>
    </row>
    <row r="204" spans="2:2" x14ac:dyDescent="0.35">
      <c r="B204" s="24"/>
    </row>
    <row r="205" spans="2:2" x14ac:dyDescent="0.35">
      <c r="B205" s="24"/>
    </row>
    <row r="206" spans="2:2" x14ac:dyDescent="0.35">
      <c r="B206" s="24"/>
    </row>
    <row r="207" spans="2:2" x14ac:dyDescent="0.35">
      <c r="B207" s="24"/>
    </row>
    <row r="208" spans="2:2" x14ac:dyDescent="0.35">
      <c r="B208" s="24"/>
    </row>
    <row r="209" spans="2:2" x14ac:dyDescent="0.35">
      <c r="B209" s="24"/>
    </row>
    <row r="210" spans="2:2" x14ac:dyDescent="0.35">
      <c r="B210" s="24"/>
    </row>
    <row r="211" spans="2:2" x14ac:dyDescent="0.35">
      <c r="B211" s="24"/>
    </row>
    <row r="212" spans="2:2" x14ac:dyDescent="0.35">
      <c r="B212" s="24"/>
    </row>
    <row r="213" spans="2:2" x14ac:dyDescent="0.35">
      <c r="B213" s="24"/>
    </row>
    <row r="214" spans="2:2" x14ac:dyDescent="0.35">
      <c r="B214" s="24"/>
    </row>
    <row r="215" spans="2:2" x14ac:dyDescent="0.35">
      <c r="B215" s="24"/>
    </row>
    <row r="216" spans="2:2" x14ac:dyDescent="0.35">
      <c r="B216" s="24"/>
    </row>
    <row r="217" spans="2:2" x14ac:dyDescent="0.35">
      <c r="B217" s="24"/>
    </row>
    <row r="218" spans="2:2" x14ac:dyDescent="0.35">
      <c r="B218" s="24"/>
    </row>
    <row r="219" spans="2:2" x14ac:dyDescent="0.35">
      <c r="B219" s="24"/>
    </row>
    <row r="220" spans="2:2" x14ac:dyDescent="0.35">
      <c r="B220" s="24"/>
    </row>
    <row r="221" spans="2:2" x14ac:dyDescent="0.35">
      <c r="B221" s="24"/>
    </row>
    <row r="222" spans="2:2" x14ac:dyDescent="0.35">
      <c r="B222" s="24"/>
    </row>
    <row r="223" spans="2:2" x14ac:dyDescent="0.35">
      <c r="B223" s="24"/>
    </row>
    <row r="224" spans="2:2" x14ac:dyDescent="0.35">
      <c r="B224" s="24"/>
    </row>
    <row r="225" spans="2:2" x14ac:dyDescent="0.35">
      <c r="B225" s="24"/>
    </row>
    <row r="226" spans="2:2" x14ac:dyDescent="0.35">
      <c r="B226" s="24"/>
    </row>
    <row r="227" spans="2:2" x14ac:dyDescent="0.35">
      <c r="B227" s="24"/>
    </row>
    <row r="228" spans="2:2" x14ac:dyDescent="0.35">
      <c r="B228" s="24"/>
    </row>
    <row r="229" spans="2:2" x14ac:dyDescent="0.35">
      <c r="B229" s="24"/>
    </row>
    <row r="230" spans="2:2" x14ac:dyDescent="0.35">
      <c r="B230" s="24"/>
    </row>
    <row r="231" spans="2:2" x14ac:dyDescent="0.35">
      <c r="B231" s="24"/>
    </row>
    <row r="232" spans="2:2" x14ac:dyDescent="0.35">
      <c r="B232" s="24"/>
    </row>
    <row r="233" spans="2:2" x14ac:dyDescent="0.35">
      <c r="B233" s="24"/>
    </row>
    <row r="234" spans="2:2" x14ac:dyDescent="0.35">
      <c r="B234" s="24"/>
    </row>
    <row r="235" spans="2:2" x14ac:dyDescent="0.35">
      <c r="B235" s="24"/>
    </row>
    <row r="236" spans="2:2" x14ac:dyDescent="0.35">
      <c r="B236" s="24"/>
    </row>
    <row r="237" spans="2:2" x14ac:dyDescent="0.35">
      <c r="B237" s="24"/>
    </row>
    <row r="238" spans="2:2" x14ac:dyDescent="0.35">
      <c r="B238" s="24"/>
    </row>
    <row r="239" spans="2:2" x14ac:dyDescent="0.35">
      <c r="B239" s="24"/>
    </row>
    <row r="240" spans="2:2" x14ac:dyDescent="0.35">
      <c r="B240" s="24"/>
    </row>
    <row r="241" spans="2:2" x14ac:dyDescent="0.35">
      <c r="B241" s="24"/>
    </row>
    <row r="242" spans="2:2" x14ac:dyDescent="0.35">
      <c r="B242" s="24"/>
    </row>
    <row r="243" spans="2:2" x14ac:dyDescent="0.35">
      <c r="B243" s="24"/>
    </row>
    <row r="244" spans="2:2" x14ac:dyDescent="0.35">
      <c r="B244" s="24"/>
    </row>
    <row r="245" spans="2:2" x14ac:dyDescent="0.35">
      <c r="B245" s="24"/>
    </row>
    <row r="246" spans="2:2" x14ac:dyDescent="0.35">
      <c r="B246" s="24"/>
    </row>
    <row r="247" spans="2:2" x14ac:dyDescent="0.35">
      <c r="B247" s="24"/>
    </row>
    <row r="248" spans="2:2" x14ac:dyDescent="0.35">
      <c r="B248" s="24"/>
    </row>
    <row r="249" spans="2:2" x14ac:dyDescent="0.35">
      <c r="B249" s="24"/>
    </row>
    <row r="250" spans="2:2" x14ac:dyDescent="0.35">
      <c r="B250" s="24"/>
    </row>
    <row r="251" spans="2:2" x14ac:dyDescent="0.35">
      <c r="B251" s="24"/>
    </row>
    <row r="252" spans="2:2" x14ac:dyDescent="0.35">
      <c r="B252" s="24"/>
    </row>
    <row r="253" spans="2:2" x14ac:dyDescent="0.35">
      <c r="B253" s="24"/>
    </row>
    <row r="254" spans="2:2" x14ac:dyDescent="0.35">
      <c r="B254" s="24"/>
    </row>
    <row r="255" spans="2:2" x14ac:dyDescent="0.35">
      <c r="B255" s="24"/>
    </row>
    <row r="256" spans="2:2" x14ac:dyDescent="0.35">
      <c r="B256" s="24"/>
    </row>
    <row r="257" spans="2:2" x14ac:dyDescent="0.35">
      <c r="B257" s="24"/>
    </row>
    <row r="258" spans="2:2" x14ac:dyDescent="0.35">
      <c r="B258" s="24"/>
    </row>
    <row r="259" spans="2:2" x14ac:dyDescent="0.35">
      <c r="B259" s="24"/>
    </row>
    <row r="260" spans="2:2" x14ac:dyDescent="0.35">
      <c r="B260" s="24"/>
    </row>
    <row r="261" spans="2:2" x14ac:dyDescent="0.35">
      <c r="B261" s="24"/>
    </row>
    <row r="262" spans="2:2" x14ac:dyDescent="0.35">
      <c r="B262" s="24"/>
    </row>
    <row r="263" spans="2:2" x14ac:dyDescent="0.35">
      <c r="B263" s="24"/>
    </row>
    <row r="264" spans="2:2" x14ac:dyDescent="0.35">
      <c r="B264" s="24"/>
    </row>
    <row r="265" spans="2:2" x14ac:dyDescent="0.35">
      <c r="B265" s="24"/>
    </row>
    <row r="266" spans="2:2" x14ac:dyDescent="0.35">
      <c r="B266" s="24"/>
    </row>
    <row r="267" spans="2:2" x14ac:dyDescent="0.35">
      <c r="B267" s="24"/>
    </row>
    <row r="268" spans="2:2" x14ac:dyDescent="0.35">
      <c r="B268" s="24"/>
    </row>
    <row r="269" spans="2:2" x14ac:dyDescent="0.35">
      <c r="B269" s="24"/>
    </row>
    <row r="270" spans="2:2" x14ac:dyDescent="0.35">
      <c r="B270" s="24"/>
    </row>
    <row r="271" spans="2:2" x14ac:dyDescent="0.35">
      <c r="B271" s="24"/>
    </row>
    <row r="272" spans="2:2" x14ac:dyDescent="0.35">
      <c r="B272" s="24"/>
    </row>
    <row r="273" spans="2:2" x14ac:dyDescent="0.35">
      <c r="B273" s="24"/>
    </row>
    <row r="274" spans="2:2" x14ac:dyDescent="0.35">
      <c r="B274" s="24"/>
    </row>
    <row r="275" spans="2:2" x14ac:dyDescent="0.35">
      <c r="B275" s="24"/>
    </row>
    <row r="276" spans="2:2" x14ac:dyDescent="0.35">
      <c r="B276" s="24"/>
    </row>
    <row r="277" spans="2:2" x14ac:dyDescent="0.35">
      <c r="B277" s="24"/>
    </row>
    <row r="278" spans="2:2" x14ac:dyDescent="0.35">
      <c r="B278" s="24"/>
    </row>
    <row r="279" spans="2:2" x14ac:dyDescent="0.35">
      <c r="B279" s="24"/>
    </row>
    <row r="280" spans="2:2" x14ac:dyDescent="0.35">
      <c r="B280" s="24"/>
    </row>
    <row r="281" spans="2:2" x14ac:dyDescent="0.35">
      <c r="B281" s="24"/>
    </row>
    <row r="282" spans="2:2" x14ac:dyDescent="0.35">
      <c r="B282" s="24"/>
    </row>
    <row r="283" spans="2:2" x14ac:dyDescent="0.35">
      <c r="B283" s="24"/>
    </row>
    <row r="284" spans="2:2" x14ac:dyDescent="0.35">
      <c r="B284" s="24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21F627085820B45ABDC82DD35D4FDFD" ma:contentTypeVersion="2" ma:contentTypeDescription="Create a new document." ma:contentTypeScope="" ma:versionID="7b4f1bb3469d7e5cc82679a9fa2f0e7f">
  <xsd:schema xmlns:xsd="http://www.w3.org/2001/XMLSchema" xmlns:xs="http://www.w3.org/2001/XMLSchema" xmlns:p="http://schemas.microsoft.com/office/2006/metadata/properties" xmlns:ns2="c67951e0-1750-45b8-a06c-ba7fb743eef7" targetNamespace="http://schemas.microsoft.com/office/2006/metadata/properties" ma:root="true" ma:fieldsID="d44fe11cf5c3dd8cb54cd13e27ea0a38" ns2:_="">
    <xsd:import namespace="c67951e0-1750-45b8-a06c-ba7fb743eef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7951e0-1750-45b8-a06c-ba7fb743ee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D1AF413-CB7B-4460-884E-956D3B3EDEC2}"/>
</file>

<file path=customXml/itemProps2.xml><?xml version="1.0" encoding="utf-8"?>
<ds:datastoreItem xmlns:ds="http://schemas.openxmlformats.org/officeDocument/2006/customXml" ds:itemID="{55AEFFE1-C06D-467A-9D68-7AD67EABF710}"/>
</file>

<file path=customXml/itemProps3.xml><?xml version="1.0" encoding="utf-8"?>
<ds:datastoreItem xmlns:ds="http://schemas.openxmlformats.org/officeDocument/2006/customXml" ds:itemID="{6A4E6AF5-A694-4EA5-8D24-8374281BB22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Description</vt:lpstr>
      <vt:lpstr>Updated PPP - Calculation (NEW)</vt:lpstr>
      <vt:lpstr>Current PPP - Calculation (NEW)</vt:lpstr>
      <vt:lpstr>EE Calculation NEW</vt:lpstr>
      <vt:lpstr>EE Summary</vt:lpstr>
      <vt:lpstr>SGIP Calculation</vt:lpstr>
    </vt:vector>
  </TitlesOfParts>
  <Company>Sempra Energy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Corrigan, Kaitlin J</dc:creator>
  <cp:lastModifiedBy>Elias, James J</cp:lastModifiedBy>
  <cp:lastPrinted>2019-05-14T19:09:01Z</cp:lastPrinted>
  <dcterms:created xsi:type="dcterms:W3CDTF">2015-04-16T16:31:08Z</dcterms:created>
  <dcterms:modified xsi:type="dcterms:W3CDTF">2019-05-15T00:16:04Z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0x010100421F627085820B45ABDC82DD35D4FDFD</vt:lpwstr>
  </property>
</Properties>
</file>